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0" documentId="8_{AEAFBB76-FF2A-4747-97DE-F692BD3CE21C}" xr6:coauthVersionLast="47" xr6:coauthVersionMax="47" xr10:uidLastSave="{00000000-0000-0000-0000-000000000000}"/>
  <bookViews>
    <workbookView xWindow="-26700" yWindow="1500" windowWidth="20010" windowHeight="13485" xr2:uid="{92E24DDB-F2C3-46F1-AEEC-DDF9B2D0BDE1}"/>
  </bookViews>
  <sheets>
    <sheet name="C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T9" i="1" s="1"/>
  <c r="K9" i="1"/>
  <c r="S9" i="1" s="1"/>
  <c r="E9" i="1"/>
  <c r="F9" i="1" s="1"/>
  <c r="T8" i="1"/>
  <c r="L8" i="1"/>
  <c r="K8" i="1"/>
  <c r="S8" i="1" s="1"/>
  <c r="E8" i="1"/>
  <c r="M8" i="1" s="1"/>
  <c r="U8" i="1" s="1"/>
  <c r="G9" i="1" l="1"/>
  <c r="O9" i="1" s="1"/>
  <c r="W9" i="1" s="1"/>
  <c r="N9" i="1"/>
  <c r="V9" i="1" s="1"/>
  <c r="F8" i="1"/>
  <c r="M9" i="1"/>
  <c r="U9" i="1" s="1"/>
  <c r="N8" i="1" l="1"/>
  <c r="V8" i="1" s="1"/>
  <c r="G8" i="1"/>
  <c r="O8" i="1" s="1"/>
  <c r="W8" i="1" s="1"/>
</calcChain>
</file>

<file path=xl/sharedStrings.xml><?xml version="1.0" encoding="utf-8"?>
<sst xmlns="http://schemas.openxmlformats.org/spreadsheetml/2006/main" count="62" uniqueCount="22">
  <si>
    <t>MONTGOMERY COUNTY GOVERNMENT</t>
  </si>
  <si>
    <t>UNIFORMED CORRECTIONAL MANAGEMENT SALARY SCHEDULE</t>
  </si>
  <si>
    <t>FISCAL YEAR 2024</t>
  </si>
  <si>
    <t>EFFECTIVE JULY 2, 2023</t>
  </si>
  <si>
    <t>EFFECTIVE JANUARY 14, 2024</t>
  </si>
  <si>
    <t>EFFECTIVE JUNE 16, 2024</t>
  </si>
  <si>
    <t>NEW LONGEVITY UPDATES</t>
  </si>
  <si>
    <t>GWA: 3% INCREASE</t>
  </si>
  <si>
    <t xml:space="preserve"> </t>
  </si>
  <si>
    <t>GRADE</t>
  </si>
  <si>
    <t>RANK</t>
  </si>
  <si>
    <t>MINIMUM</t>
  </si>
  <si>
    <t>MAXIMUM</t>
  </si>
  <si>
    <t>16 YEAR LONGEVITY (3.5%)</t>
  </si>
  <si>
    <t>20 YEAR 
LONGEVITY
(3.5%)</t>
  </si>
  <si>
    <t>25 YEAR 
LONGEVITY
(3.5%)</t>
  </si>
  <si>
    <t>C1</t>
  </si>
  <si>
    <t>CORRECTIONAL SHIFT COMMANDER (LT)</t>
  </si>
  <si>
    <t>C2</t>
  </si>
  <si>
    <t>CORRECTIONAL TEAM LEADER (CAPT)</t>
  </si>
  <si>
    <t>FY24 Notes:</t>
  </si>
  <si>
    <t xml:space="preserve">1) No retroactive pay for updated longevity.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</si>
</sst>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21"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D3CDD9-AE04-4DB2-84BE-FC7F0F654113}" name="CMSTable13517" displayName="CMSTable13517" ref="A7:G9" totalsRowShown="0" headerRowDxfId="20">
  <tableColumns count="7">
    <tableColumn id="1" xr3:uid="{94457132-FCE6-408F-ADC7-BA48C8FE1846}" name="GRADE" dataDxfId="19"/>
    <tableColumn id="2" xr3:uid="{1848C726-62AA-43D0-AEC1-4383FE857A34}" name="RANK"/>
    <tableColumn id="3" xr3:uid="{D74BBBA4-4783-4EA1-B498-98E6C074449D}" name="MINIMUM" dataDxfId="18"/>
    <tableColumn id="4" xr3:uid="{695E0CB1-6671-46A8-916C-FE79699C13BD}" name="MAXIMUM" dataDxfId="17"/>
    <tableColumn id="7" xr3:uid="{2F46D57C-943B-4F30-AAD1-D2AEC8614C1B}" name="16 YEAR LONGEVITY (3.5%)" dataDxfId="16">
      <calculatedColumnFormula>CMSTable13517[[#This Row],[MAXIMUM]]*1.035</calculatedColumnFormula>
    </tableColumn>
    <tableColumn id="5" xr3:uid="{504931C9-745C-469D-9E27-210866A6F205}" name="20 YEAR _x000a_LONGEVITY_x000a_(3.5%)" dataDxfId="15">
      <calculatedColumnFormula>CMSTable13517[[#This Row],[16 YEAR LONGEVITY (3.5%)]]*1.035</calculatedColumnFormula>
    </tableColumn>
    <tableColumn id="6" xr3:uid="{17169EB0-7850-494B-99E1-68382AD751F4}" name="25 YEAR _x000a_LONGEVITY_x000a_(3.5%)" dataDxfId="14">
      <calculatedColumnFormula>CMSTable13517[[#This Row],[20 YEAR 
LONGEVITY
(3.5%)]]*1.035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EB1DCA-A4A1-4FE9-8BA3-73C7CA261B7C}" name="CMSTable1351729" displayName="CMSTable1351729" ref="I7:O9" totalsRowShown="0" headerRowDxfId="13">
  <tableColumns count="7">
    <tableColumn id="1" xr3:uid="{BA91FE4B-DDDB-4BB8-9AEE-9797BBE3592B}" name="GRADE" dataDxfId="12"/>
    <tableColumn id="2" xr3:uid="{D0A4A75D-5324-4382-8A7C-233EA9C91D19}" name="RANK"/>
    <tableColumn id="3" xr3:uid="{474EBEB4-F7F3-41A3-BDF7-3E860C0CD6DC}" name="MINIMUM" dataDxfId="11">
      <calculatedColumnFormula>CMSTable13517[[#This Row],[MINIMUM]]*1.03</calculatedColumnFormula>
    </tableColumn>
    <tableColumn id="4" xr3:uid="{5835EDC7-06F1-4986-880A-2036D8C10E9D}" name="MAXIMUM" dataDxfId="10">
      <calculatedColumnFormula>CMSTable13517[[#This Row],[MAXIMUM]]*1.03</calculatedColumnFormula>
    </tableColumn>
    <tableColumn id="7" xr3:uid="{719B7827-6EFD-4F07-B7D4-F08CB25393A2}" name="16 YEAR LONGEVITY (3.5%)" dataDxfId="9">
      <calculatedColumnFormula>CMSTable13517[[#This Row],[16 YEAR LONGEVITY (3.5%)]]*1.03</calculatedColumnFormula>
    </tableColumn>
    <tableColumn id="5" xr3:uid="{70F336B4-6077-4279-A408-7C41703AA5B0}" name="20 YEAR _x000a_LONGEVITY_x000a_(3.5%)" dataDxfId="8">
      <calculatedColumnFormula>CMSTable13517[[#This Row],[20 YEAR 
LONGEVITY
(3.5%)]]*1.03</calculatedColumnFormula>
    </tableColumn>
    <tableColumn id="6" xr3:uid="{CA02E71E-A306-4979-9AD3-4F305AFB92EA}" name="25 YEAR _x000a_LONGEVITY_x000a_(3.5%)" dataDxfId="7">
      <calculatedColumnFormula>CMSTable13517[[#This Row],[25 YEAR 
LONGEVITY
(3.5%)]]*1.03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5B49C9-3593-492E-879D-BCED9775DFF6}" name="CMSTable13517297" displayName="CMSTable13517297" ref="Q7:W9" totalsRowShown="0" headerRowDxfId="6">
  <tableColumns count="7">
    <tableColumn id="1" xr3:uid="{45BE0897-9793-4FA5-B124-C9C80C70DFA8}" name="GRADE" dataDxfId="5"/>
    <tableColumn id="2" xr3:uid="{5CBEDCE0-BF89-4777-B378-95E50D225BCD}" name="RANK"/>
    <tableColumn id="3" xr3:uid="{C0283D6D-A095-43C7-8E96-3C6FC3DB51C1}" name="MINIMUM" dataDxfId="4">
      <calculatedColumnFormula>CMSTable1351729[[#This Row],[MINIMUM]]*1.03</calculatedColumnFormula>
    </tableColumn>
    <tableColumn id="4" xr3:uid="{E55B7047-C622-4728-B22E-F7162B337D23}" name="MAXIMUM" dataDxfId="3">
      <calculatedColumnFormula>CMSTable1351729[[#This Row],[MAXIMUM]]*1.03</calculatedColumnFormula>
    </tableColumn>
    <tableColumn id="7" xr3:uid="{B0673B9A-C096-4068-AF7F-A75FB4DCAFEA}" name="16 YEAR LONGEVITY (3.5%)" dataDxfId="2">
      <calculatedColumnFormula>CMSTable1351729[[#This Row],[16 YEAR LONGEVITY (3.5%)]]*1.03</calculatedColumnFormula>
    </tableColumn>
    <tableColumn id="5" xr3:uid="{11DFB64E-FF93-4568-8CE9-C61A4289CC3D}" name="20 YEAR _x000a_LONGEVITY_x000a_(3.5%)" dataDxfId="1">
      <calculatedColumnFormula>CMSTable1351729[[#This Row],[20 YEAR 
LONGEVITY
(3.5%)]]*1.03</calculatedColumnFormula>
    </tableColumn>
    <tableColumn id="6" xr3:uid="{2D91D459-76CC-4D90-A886-A801E9753B29}" name="25 YEAR _x000a_LONGEVITY_x000a_(3.5%)" dataDxfId="0">
      <calculatedColumnFormula>CMSTable1351729[[#This Row],[25 YEAR 
LONGEVITY
(3.5%)]]*1.03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4337-8124-41F4-A3B4-48382AE52048}">
  <sheetPr>
    <tabColor theme="9" tint="0.59999389629810485"/>
    <pageSetUpPr fitToPage="1"/>
  </sheetPr>
  <dimension ref="A1:X14"/>
  <sheetViews>
    <sheetView showGridLines="0" tabSelected="1" zoomScaleNormal="100" workbookViewId="0">
      <selection activeCell="M3" sqref="M3"/>
    </sheetView>
  </sheetViews>
  <sheetFormatPr defaultColWidth="0" defaultRowHeight="0" customHeight="1" zeroHeight="1" x14ac:dyDescent="0.3"/>
  <cols>
    <col min="1" max="1" width="7.88671875" customWidth="1"/>
    <col min="2" max="2" width="35.88671875" customWidth="1"/>
    <col min="3" max="7" width="10.88671875" customWidth="1"/>
    <col min="8" max="8" width="4.88671875" customWidth="1"/>
    <col min="9" max="9" width="7.88671875" customWidth="1"/>
    <col min="10" max="10" width="35.88671875" customWidth="1"/>
    <col min="11" max="15" width="10.88671875" customWidth="1"/>
    <col min="16" max="16" width="4.88671875" customWidth="1"/>
    <col min="17" max="17" width="7.88671875" customWidth="1"/>
    <col min="18" max="18" width="35.88671875" customWidth="1"/>
    <col min="19" max="23" width="10.88671875" customWidth="1"/>
    <col min="24" max="24" width="2.88671875" customWidth="1"/>
    <col min="25" max="16384" width="8.88671875" hidden="1"/>
  </cols>
  <sheetData>
    <row r="1" spans="1:23" s="1" customFormat="1" ht="18" x14ac:dyDescent="0.35">
      <c r="A1" s="1" t="s">
        <v>0</v>
      </c>
      <c r="I1" s="1" t="s">
        <v>0</v>
      </c>
      <c r="Q1" s="1" t="s">
        <v>0</v>
      </c>
    </row>
    <row r="2" spans="1:23" s="1" customFormat="1" ht="18" x14ac:dyDescent="0.35">
      <c r="A2" s="1" t="s">
        <v>1</v>
      </c>
      <c r="I2" s="1" t="s">
        <v>1</v>
      </c>
      <c r="Q2" s="1" t="s">
        <v>1</v>
      </c>
    </row>
    <row r="3" spans="1:23" s="1" customFormat="1" ht="18" x14ac:dyDescent="0.35">
      <c r="A3" s="1" t="s">
        <v>2</v>
      </c>
      <c r="I3" s="1" t="s">
        <v>2</v>
      </c>
      <c r="Q3" s="1" t="s">
        <v>2</v>
      </c>
    </row>
    <row r="4" spans="1:23" s="1" customFormat="1" ht="18" x14ac:dyDescent="0.35">
      <c r="A4" s="2" t="s">
        <v>3</v>
      </c>
      <c r="I4" s="2" t="s">
        <v>4</v>
      </c>
      <c r="Q4" s="2" t="s">
        <v>5</v>
      </c>
    </row>
    <row r="5" spans="1:23" s="1" customFormat="1" ht="18" x14ac:dyDescent="0.35">
      <c r="A5" s="2" t="s">
        <v>6</v>
      </c>
      <c r="I5" s="2" t="s">
        <v>7</v>
      </c>
      <c r="Q5" s="2" t="s">
        <v>7</v>
      </c>
    </row>
    <row r="6" spans="1:23" ht="14.4" x14ac:dyDescent="0.3">
      <c r="F6" t="s">
        <v>8</v>
      </c>
      <c r="N6" t="s">
        <v>8</v>
      </c>
      <c r="V6" t="s">
        <v>8</v>
      </c>
    </row>
    <row r="7" spans="1:23" s="3" customFormat="1" ht="43.2" x14ac:dyDescent="0.3">
      <c r="A7" s="3" t="s">
        <v>9</v>
      </c>
      <c r="B7" s="3" t="s">
        <v>10</v>
      </c>
      <c r="C7" s="3" t="s">
        <v>11</v>
      </c>
      <c r="D7" s="3" t="s">
        <v>12</v>
      </c>
      <c r="E7" s="4" t="s">
        <v>13</v>
      </c>
      <c r="F7" s="4" t="s">
        <v>14</v>
      </c>
      <c r="G7" s="4" t="s">
        <v>15</v>
      </c>
      <c r="I7" s="3" t="s">
        <v>9</v>
      </c>
      <c r="J7" s="3" t="s">
        <v>10</v>
      </c>
      <c r="K7" s="3" t="s">
        <v>11</v>
      </c>
      <c r="L7" s="3" t="s">
        <v>12</v>
      </c>
      <c r="M7" s="5" t="s">
        <v>13</v>
      </c>
      <c r="N7" s="5" t="s">
        <v>14</v>
      </c>
      <c r="O7" s="5" t="s">
        <v>15</v>
      </c>
      <c r="P7" s="5"/>
      <c r="Q7" s="3" t="s">
        <v>9</v>
      </c>
      <c r="R7" s="3" t="s">
        <v>10</v>
      </c>
      <c r="S7" s="3" t="s">
        <v>11</v>
      </c>
      <c r="T7" s="3" t="s">
        <v>12</v>
      </c>
      <c r="U7" s="5" t="s">
        <v>13</v>
      </c>
      <c r="V7" s="5" t="s">
        <v>14</v>
      </c>
      <c r="W7" s="5" t="s">
        <v>15</v>
      </c>
    </row>
    <row r="8" spans="1:23" ht="14.4" x14ac:dyDescent="0.3">
      <c r="A8" s="6" t="s">
        <v>16</v>
      </c>
      <c r="B8" t="s">
        <v>17</v>
      </c>
      <c r="C8" s="7">
        <v>73510</v>
      </c>
      <c r="D8" s="7">
        <v>115279</v>
      </c>
      <c r="E8" s="7">
        <f>CMSTable13517[[#This Row],[MAXIMUM]]*1.035</f>
        <v>119313.76499999998</v>
      </c>
      <c r="F8" s="7">
        <f>CMSTable13517[[#This Row],[16 YEAR LONGEVITY (3.5%)]]*1.035</f>
        <v>123489.74677499998</v>
      </c>
      <c r="G8" s="7">
        <f>CMSTable13517[[#This Row],[20 YEAR 
LONGEVITY
(3.5%)]]*1.035</f>
        <v>127811.88791212496</v>
      </c>
      <c r="I8" s="6" t="s">
        <v>16</v>
      </c>
      <c r="J8" t="s">
        <v>17</v>
      </c>
      <c r="K8" s="7">
        <f>CMSTable13517[[#This Row],[MINIMUM]]*1.03</f>
        <v>75715.3</v>
      </c>
      <c r="L8" s="7">
        <f>CMSTable13517[[#This Row],[MAXIMUM]]*1.03</f>
        <v>118737.37000000001</v>
      </c>
      <c r="M8" s="7">
        <f>CMSTable13517[[#This Row],[16 YEAR LONGEVITY (3.5%)]]*1.03</f>
        <v>122893.17794999998</v>
      </c>
      <c r="N8" s="7">
        <f>CMSTable13517[[#This Row],[20 YEAR 
LONGEVITY
(3.5%)]]*1.03</f>
        <v>127194.43917824997</v>
      </c>
      <c r="O8" s="7">
        <f>CMSTable13517[[#This Row],[25 YEAR 
LONGEVITY
(3.5%)]]*1.03</f>
        <v>131646.24454948871</v>
      </c>
      <c r="P8" s="7"/>
      <c r="Q8" s="6" t="s">
        <v>16</v>
      </c>
      <c r="R8" t="s">
        <v>17</v>
      </c>
      <c r="S8" s="7">
        <f>CMSTable1351729[[#This Row],[MINIMUM]]*1.03</f>
        <v>77986.759000000005</v>
      </c>
      <c r="T8" s="7">
        <f>CMSTable1351729[[#This Row],[MAXIMUM]]*1.03</f>
        <v>122299.49110000001</v>
      </c>
      <c r="U8" s="7">
        <f>CMSTable1351729[[#This Row],[16 YEAR LONGEVITY (3.5%)]]*1.03</f>
        <v>126579.97328849998</v>
      </c>
      <c r="V8" s="7">
        <f>CMSTable1351729[[#This Row],[20 YEAR 
LONGEVITY
(3.5%)]]*1.03</f>
        <v>131010.27235359748</v>
      </c>
      <c r="W8" s="7">
        <f>CMSTable1351729[[#This Row],[25 YEAR 
LONGEVITY
(3.5%)]]*1.03</f>
        <v>135595.63188597336</v>
      </c>
    </row>
    <row r="9" spans="1:23" ht="14.4" x14ac:dyDescent="0.3">
      <c r="A9" s="6" t="s">
        <v>18</v>
      </c>
      <c r="B9" t="s">
        <v>19</v>
      </c>
      <c r="C9" s="7">
        <v>80261</v>
      </c>
      <c r="D9" s="7">
        <v>126207</v>
      </c>
      <c r="E9" s="7">
        <f>CMSTable13517[[#This Row],[MAXIMUM]]*1.035</f>
        <v>130624.245</v>
      </c>
      <c r="F9" s="7">
        <f>CMSTable13517[[#This Row],[16 YEAR LONGEVITY (3.5%)]]*1.035</f>
        <v>135196.09357499998</v>
      </c>
      <c r="G9" s="7">
        <f>CMSTable13517[[#This Row],[20 YEAR 
LONGEVITY
(3.5%)]]*1.035</f>
        <v>139927.95685012496</v>
      </c>
      <c r="I9" s="6" t="s">
        <v>18</v>
      </c>
      <c r="J9" t="s">
        <v>19</v>
      </c>
      <c r="K9" s="7">
        <f>CMSTable13517[[#This Row],[MINIMUM]]*1.03</f>
        <v>82668.83</v>
      </c>
      <c r="L9" s="7">
        <f>CMSTable13517[[#This Row],[MAXIMUM]]*1.03</f>
        <v>129993.21</v>
      </c>
      <c r="M9" s="7">
        <f>CMSTable13517[[#This Row],[16 YEAR LONGEVITY (3.5%)]]*1.03</f>
        <v>134542.97235</v>
      </c>
      <c r="N9" s="7">
        <f>CMSTable13517[[#This Row],[20 YEAR 
LONGEVITY
(3.5%)]]*1.03</f>
        <v>139251.97638224997</v>
      </c>
      <c r="O9" s="7">
        <f>CMSTable13517[[#This Row],[25 YEAR 
LONGEVITY
(3.5%)]]*1.03</f>
        <v>144125.79555562872</v>
      </c>
      <c r="P9" s="7"/>
      <c r="Q9" s="6" t="s">
        <v>18</v>
      </c>
      <c r="R9" t="s">
        <v>19</v>
      </c>
      <c r="S9" s="7">
        <f>CMSTable1351729[[#This Row],[MINIMUM]]*1.03</f>
        <v>85148.894899999999</v>
      </c>
      <c r="T9" s="7">
        <f>CMSTable1351729[[#This Row],[MAXIMUM]]*1.03</f>
        <v>133893.00630000001</v>
      </c>
      <c r="U9" s="7">
        <f>CMSTable1351729[[#This Row],[16 YEAR LONGEVITY (3.5%)]]*1.03</f>
        <v>138579.2615205</v>
      </c>
      <c r="V9" s="7">
        <f>CMSTable1351729[[#This Row],[20 YEAR 
LONGEVITY
(3.5%)]]*1.03</f>
        <v>143429.53567371747</v>
      </c>
      <c r="W9" s="7">
        <f>CMSTable1351729[[#This Row],[25 YEAR 
LONGEVITY
(3.5%)]]*1.03</f>
        <v>148449.56942229759</v>
      </c>
    </row>
    <row r="10" spans="1:23" ht="14.4" x14ac:dyDescent="0.3">
      <c r="A10" t="s">
        <v>8</v>
      </c>
      <c r="B10" t="s">
        <v>8</v>
      </c>
      <c r="F10" t="s">
        <v>8</v>
      </c>
      <c r="I10" t="s">
        <v>8</v>
      </c>
      <c r="J10" t="s">
        <v>8</v>
      </c>
      <c r="N10" t="s">
        <v>8</v>
      </c>
      <c r="Q10" t="s">
        <v>8</v>
      </c>
      <c r="R10" t="s">
        <v>8</v>
      </c>
      <c r="V10" t="s">
        <v>8</v>
      </c>
    </row>
    <row r="11" spans="1:23" ht="14.4" x14ac:dyDescent="0.3">
      <c r="A11" s="8" t="s">
        <v>20</v>
      </c>
      <c r="C11" s="7"/>
      <c r="D11" s="7"/>
      <c r="E11" s="7"/>
      <c r="F11" s="7"/>
      <c r="G11" s="7"/>
      <c r="I11" s="8"/>
      <c r="M11" s="9"/>
      <c r="N11" s="9"/>
      <c r="O11" s="9"/>
      <c r="Q11" s="8"/>
    </row>
    <row r="12" spans="1:23" ht="14.4" x14ac:dyDescent="0.3">
      <c r="A12" s="10" t="s">
        <v>21</v>
      </c>
      <c r="B12" s="10"/>
      <c r="C12" s="10"/>
      <c r="D12" s="10"/>
      <c r="E12" s="10"/>
      <c r="F12" s="10"/>
      <c r="G12" s="10"/>
      <c r="I12" s="8"/>
      <c r="Q12" s="8"/>
    </row>
    <row r="13" spans="1:23" ht="15" customHeight="1" x14ac:dyDescent="0.3">
      <c r="B13" s="11"/>
      <c r="C13" s="11"/>
      <c r="D13" s="11"/>
      <c r="E13" s="11"/>
      <c r="F13" s="11"/>
      <c r="G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4.4" hidden="1" x14ac:dyDescent="0.3">
      <c r="A14" s="11"/>
      <c r="B14" s="11"/>
      <c r="C14" s="11"/>
      <c r="D14" s="11"/>
      <c r="E14" s="11"/>
      <c r="F14" s="11"/>
      <c r="G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</sheetData>
  <mergeCells count="1">
    <mergeCell ref="A12:G12"/>
  </mergeCells>
  <pageMargins left="0.45" right="0.45" top="0.75" bottom="0.75" header="0.3" footer="0.3"/>
  <pageSetup scale="42" orientation="landscape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6C6B15-B31A-4795-A0D7-A625AA536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72ED35-143B-40F0-BB2B-C92E73310B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4B9B27-2241-4AE5-953F-D3CB372DDCE9}">
  <ds:schemaRefs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4371f9e0-a6ae-4659-99bc-c8f785673b7e"/>
    <ds:schemaRef ds:uri="9127b8fb-d66a-4ff3-ab07-2e6ae728f70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Lum, Jonson</cp:lastModifiedBy>
  <dcterms:created xsi:type="dcterms:W3CDTF">2023-06-01T20:47:41Z</dcterms:created>
  <dcterms:modified xsi:type="dcterms:W3CDTF">2023-06-01T20:47:58Z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