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brunhs\Downloads\"/>
    </mc:Choice>
  </mc:AlternateContent>
  <xr:revisionPtr revIDLastSave="0" documentId="8_{11F77C5C-B3FF-42FA-A78F-C81A81D5DF7E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5-11 Pediatric Pharmacy Sites" sheetId="4" r:id="rId1"/>
  </sheets>
  <definedNames>
    <definedName name="_xlnm._FilterDatabase" localSheetId="0" hidden="1">'5-11 Pediatric Pharmacy Sites'!$A$1:$T$290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0" i="4" l="1"/>
  <c r="S290" i="4"/>
  <c r="R290" i="4"/>
  <c r="Q290" i="4"/>
  <c r="P290" i="4"/>
  <c r="O290" i="4"/>
  <c r="M290" i="4"/>
  <c r="K290" i="4"/>
  <c r="J290" i="4"/>
  <c r="I290" i="4"/>
  <c r="F290" i="4"/>
  <c r="E290" i="4"/>
  <c r="D290" i="4"/>
  <c r="C290" i="4"/>
  <c r="B290" i="4"/>
  <c r="A290" i="4"/>
  <c r="T289" i="4"/>
  <c r="S289" i="4"/>
  <c r="R289" i="4"/>
  <c r="Q289" i="4"/>
  <c r="P289" i="4"/>
  <c r="O289" i="4"/>
  <c r="N289" i="4"/>
  <c r="M289" i="4"/>
  <c r="K289" i="4"/>
  <c r="J289" i="4"/>
  <c r="I289" i="4"/>
  <c r="F289" i="4"/>
  <c r="E289" i="4"/>
  <c r="D289" i="4"/>
  <c r="C289" i="4"/>
  <c r="B289" i="4"/>
  <c r="A289" i="4"/>
  <c r="T288" i="4"/>
  <c r="S288" i="4"/>
  <c r="R288" i="4"/>
  <c r="Q288" i="4"/>
  <c r="P288" i="4"/>
  <c r="M288" i="4"/>
  <c r="K288" i="4"/>
  <c r="I288" i="4"/>
  <c r="F288" i="4"/>
  <c r="E288" i="4"/>
  <c r="D288" i="4"/>
  <c r="C288" i="4"/>
  <c r="B288" i="4"/>
  <c r="A288" i="4"/>
  <c r="T287" i="4"/>
  <c r="S287" i="4"/>
  <c r="R287" i="4"/>
  <c r="Q287" i="4"/>
  <c r="P287" i="4"/>
  <c r="M287" i="4"/>
  <c r="K287" i="4"/>
  <c r="I287" i="4"/>
  <c r="F287" i="4"/>
  <c r="E287" i="4"/>
  <c r="D287" i="4"/>
  <c r="C287" i="4"/>
  <c r="B287" i="4"/>
  <c r="A287" i="4"/>
  <c r="T286" i="4"/>
  <c r="S286" i="4"/>
  <c r="R286" i="4"/>
  <c r="Q286" i="4"/>
  <c r="P286" i="4"/>
  <c r="M286" i="4"/>
  <c r="I286" i="4"/>
  <c r="G286" i="4"/>
  <c r="F286" i="4"/>
  <c r="E286" i="4"/>
  <c r="D286" i="4"/>
  <c r="C286" i="4"/>
  <c r="B286" i="4"/>
  <c r="A286" i="4"/>
  <c r="T285" i="4"/>
  <c r="S285" i="4"/>
  <c r="R285" i="4"/>
  <c r="Q285" i="4"/>
  <c r="P285" i="4"/>
  <c r="M285" i="4"/>
  <c r="I285" i="4"/>
  <c r="F285" i="4"/>
  <c r="E285" i="4"/>
  <c r="D285" i="4"/>
  <c r="C285" i="4"/>
  <c r="B285" i="4"/>
  <c r="A285" i="4"/>
  <c r="T284" i="4"/>
  <c r="S284" i="4"/>
  <c r="R284" i="4"/>
  <c r="Q284" i="4"/>
  <c r="P284" i="4"/>
  <c r="M284" i="4"/>
  <c r="I284" i="4"/>
  <c r="F284" i="4"/>
  <c r="E284" i="4"/>
  <c r="D284" i="4"/>
  <c r="C284" i="4"/>
  <c r="B284" i="4"/>
  <c r="A284" i="4"/>
  <c r="T283" i="4"/>
  <c r="S283" i="4"/>
  <c r="R283" i="4"/>
  <c r="Q283" i="4"/>
  <c r="P283" i="4"/>
  <c r="M283" i="4"/>
  <c r="K283" i="4"/>
  <c r="I283" i="4"/>
  <c r="F283" i="4"/>
  <c r="E283" i="4"/>
  <c r="D283" i="4"/>
  <c r="C283" i="4"/>
  <c r="B283" i="4"/>
  <c r="A283" i="4"/>
  <c r="T282" i="4"/>
  <c r="S282" i="4"/>
  <c r="R282" i="4"/>
  <c r="Q282" i="4"/>
  <c r="P282" i="4"/>
  <c r="M282" i="4"/>
  <c r="K282" i="4"/>
  <c r="I282" i="4"/>
  <c r="F282" i="4"/>
  <c r="E282" i="4"/>
  <c r="D282" i="4"/>
  <c r="C282" i="4"/>
  <c r="B282" i="4"/>
  <c r="A282" i="4"/>
  <c r="T281" i="4"/>
  <c r="S281" i="4"/>
  <c r="R281" i="4"/>
  <c r="Q281" i="4"/>
  <c r="P281" i="4"/>
  <c r="M281" i="4"/>
  <c r="K281" i="4"/>
  <c r="I281" i="4"/>
  <c r="F281" i="4"/>
  <c r="E281" i="4"/>
  <c r="D281" i="4"/>
  <c r="C281" i="4"/>
  <c r="B281" i="4"/>
  <c r="A281" i="4"/>
  <c r="T280" i="4"/>
  <c r="S280" i="4"/>
  <c r="R280" i="4"/>
  <c r="Q280" i="4"/>
  <c r="P280" i="4"/>
  <c r="O280" i="4"/>
  <c r="N280" i="4"/>
  <c r="M280" i="4"/>
  <c r="K280" i="4"/>
  <c r="J280" i="4"/>
  <c r="I280" i="4"/>
  <c r="F280" i="4"/>
  <c r="E280" i="4"/>
  <c r="D280" i="4"/>
  <c r="C280" i="4"/>
  <c r="B280" i="4"/>
  <c r="A280" i="4"/>
  <c r="T279" i="4"/>
  <c r="S279" i="4"/>
  <c r="R279" i="4"/>
  <c r="Q279" i="4"/>
  <c r="P279" i="4"/>
  <c r="O279" i="4"/>
  <c r="M279" i="4"/>
  <c r="I279" i="4"/>
  <c r="F279" i="4"/>
  <c r="E279" i="4"/>
  <c r="D279" i="4"/>
  <c r="C279" i="4"/>
  <c r="B279" i="4"/>
  <c r="A279" i="4"/>
  <c r="T278" i="4"/>
  <c r="S278" i="4"/>
  <c r="R278" i="4"/>
  <c r="Q278" i="4"/>
  <c r="P278" i="4"/>
  <c r="O278" i="4"/>
  <c r="N278" i="4"/>
  <c r="M278" i="4"/>
  <c r="K278" i="4"/>
  <c r="J278" i="4"/>
  <c r="I278" i="4"/>
  <c r="F278" i="4"/>
  <c r="E278" i="4"/>
  <c r="D278" i="4"/>
  <c r="C278" i="4"/>
  <c r="B278" i="4"/>
  <c r="A278" i="4"/>
  <c r="T277" i="4"/>
  <c r="S277" i="4"/>
  <c r="R277" i="4"/>
  <c r="Q277" i="4"/>
  <c r="P277" i="4"/>
  <c r="M277" i="4"/>
  <c r="K277" i="4"/>
  <c r="I277" i="4"/>
  <c r="F277" i="4"/>
  <c r="E277" i="4"/>
  <c r="D277" i="4"/>
  <c r="C277" i="4"/>
  <c r="B277" i="4"/>
  <c r="A277" i="4"/>
  <c r="T276" i="4"/>
  <c r="S276" i="4"/>
  <c r="R276" i="4"/>
  <c r="Q276" i="4"/>
  <c r="P276" i="4"/>
  <c r="O276" i="4"/>
  <c r="M276" i="4"/>
  <c r="I276" i="4"/>
  <c r="F276" i="4"/>
  <c r="E276" i="4"/>
  <c r="D276" i="4"/>
  <c r="C276" i="4"/>
  <c r="B276" i="4"/>
  <c r="A276" i="4"/>
  <c r="T275" i="4"/>
  <c r="S275" i="4"/>
  <c r="R275" i="4"/>
  <c r="Q275" i="4"/>
  <c r="P275" i="4"/>
  <c r="O275" i="4"/>
  <c r="M275" i="4"/>
  <c r="I275" i="4"/>
  <c r="F275" i="4"/>
  <c r="E275" i="4"/>
  <c r="D275" i="4"/>
  <c r="C275" i="4"/>
  <c r="B275" i="4"/>
  <c r="A275" i="4"/>
  <c r="T274" i="4"/>
  <c r="S274" i="4"/>
  <c r="R274" i="4"/>
  <c r="Q274" i="4"/>
  <c r="P274" i="4"/>
  <c r="M274" i="4"/>
  <c r="I274" i="4"/>
  <c r="F274" i="4"/>
  <c r="E274" i="4"/>
  <c r="D274" i="4"/>
  <c r="C274" i="4"/>
  <c r="B274" i="4"/>
  <c r="A274" i="4"/>
  <c r="T273" i="4"/>
  <c r="S273" i="4"/>
  <c r="R273" i="4"/>
  <c r="Q273" i="4"/>
  <c r="P273" i="4"/>
  <c r="O273" i="4"/>
  <c r="M273" i="4"/>
  <c r="K273" i="4"/>
  <c r="I273" i="4"/>
  <c r="F273" i="4"/>
  <c r="E273" i="4"/>
  <c r="D273" i="4"/>
  <c r="C273" i="4"/>
  <c r="B273" i="4"/>
  <c r="A273" i="4"/>
  <c r="T272" i="4"/>
  <c r="S272" i="4"/>
  <c r="R272" i="4"/>
  <c r="Q272" i="4"/>
  <c r="P272" i="4"/>
  <c r="O272" i="4"/>
  <c r="M272" i="4"/>
  <c r="K272" i="4"/>
  <c r="I272" i="4"/>
  <c r="F272" i="4"/>
  <c r="E272" i="4"/>
  <c r="D272" i="4"/>
  <c r="C272" i="4"/>
  <c r="B272" i="4"/>
  <c r="A272" i="4"/>
  <c r="T271" i="4"/>
  <c r="S271" i="4"/>
  <c r="R271" i="4"/>
  <c r="Q271" i="4"/>
  <c r="P271" i="4"/>
  <c r="O271" i="4"/>
  <c r="M271" i="4"/>
  <c r="K271" i="4"/>
  <c r="I271" i="4"/>
  <c r="F271" i="4"/>
  <c r="E271" i="4"/>
  <c r="D271" i="4"/>
  <c r="C271" i="4"/>
  <c r="B271" i="4"/>
  <c r="A271" i="4"/>
  <c r="T270" i="4"/>
  <c r="S270" i="4"/>
  <c r="R270" i="4"/>
  <c r="Q270" i="4"/>
  <c r="P270" i="4"/>
  <c r="O270" i="4"/>
  <c r="N270" i="4"/>
  <c r="M270" i="4"/>
  <c r="K270" i="4"/>
  <c r="J270" i="4"/>
  <c r="I270" i="4"/>
  <c r="F270" i="4"/>
  <c r="E270" i="4"/>
  <c r="D270" i="4"/>
  <c r="C270" i="4"/>
  <c r="B270" i="4"/>
  <c r="A270" i="4"/>
  <c r="T269" i="4"/>
  <c r="S269" i="4"/>
  <c r="R269" i="4"/>
  <c r="Q269" i="4"/>
  <c r="P269" i="4"/>
  <c r="M269" i="4"/>
  <c r="K269" i="4"/>
  <c r="I269" i="4"/>
  <c r="F269" i="4"/>
  <c r="E269" i="4"/>
  <c r="D269" i="4"/>
  <c r="C269" i="4"/>
  <c r="B269" i="4"/>
  <c r="A269" i="4"/>
  <c r="T268" i="4"/>
  <c r="S268" i="4"/>
  <c r="R268" i="4"/>
  <c r="Q268" i="4"/>
  <c r="P268" i="4"/>
  <c r="M268" i="4"/>
  <c r="K268" i="4"/>
  <c r="I268" i="4"/>
  <c r="F268" i="4"/>
  <c r="E268" i="4"/>
  <c r="D268" i="4"/>
  <c r="C268" i="4"/>
  <c r="B268" i="4"/>
  <c r="A268" i="4"/>
  <c r="T267" i="4"/>
  <c r="S267" i="4"/>
  <c r="R267" i="4"/>
  <c r="Q267" i="4"/>
  <c r="P267" i="4"/>
  <c r="O267" i="4"/>
  <c r="N267" i="4"/>
  <c r="M267" i="4"/>
  <c r="K267" i="4"/>
  <c r="J267" i="4"/>
  <c r="I267" i="4"/>
  <c r="F267" i="4"/>
  <c r="E267" i="4"/>
  <c r="D267" i="4"/>
  <c r="C267" i="4"/>
  <c r="B267" i="4"/>
  <c r="A267" i="4"/>
  <c r="T266" i="4"/>
  <c r="S266" i="4"/>
  <c r="R266" i="4"/>
  <c r="Q266" i="4"/>
  <c r="P266" i="4"/>
  <c r="M266" i="4"/>
  <c r="K266" i="4"/>
  <c r="I266" i="4"/>
  <c r="F266" i="4"/>
  <c r="E266" i="4"/>
  <c r="D266" i="4"/>
  <c r="C266" i="4"/>
  <c r="B266" i="4"/>
  <c r="A266" i="4"/>
  <c r="T265" i="4"/>
  <c r="S265" i="4"/>
  <c r="R265" i="4"/>
  <c r="Q265" i="4"/>
  <c r="P265" i="4"/>
  <c r="O265" i="4"/>
  <c r="M265" i="4"/>
  <c r="I265" i="4"/>
  <c r="F265" i="4"/>
  <c r="E265" i="4"/>
  <c r="D265" i="4"/>
  <c r="C265" i="4"/>
  <c r="B265" i="4"/>
  <c r="A265" i="4"/>
  <c r="T264" i="4"/>
  <c r="S264" i="4"/>
  <c r="R264" i="4"/>
  <c r="Q264" i="4"/>
  <c r="P264" i="4"/>
  <c r="M264" i="4"/>
  <c r="I264" i="4"/>
  <c r="F264" i="4"/>
  <c r="E264" i="4"/>
  <c r="D264" i="4"/>
  <c r="C264" i="4"/>
  <c r="B264" i="4"/>
  <c r="A264" i="4"/>
  <c r="T263" i="4"/>
  <c r="S263" i="4"/>
  <c r="R263" i="4"/>
  <c r="Q263" i="4"/>
  <c r="P263" i="4"/>
  <c r="O263" i="4"/>
  <c r="N263" i="4"/>
  <c r="M263" i="4"/>
  <c r="K263" i="4"/>
  <c r="J263" i="4"/>
  <c r="I263" i="4"/>
  <c r="F263" i="4"/>
  <c r="E263" i="4"/>
  <c r="D263" i="4"/>
  <c r="C263" i="4"/>
  <c r="B263" i="4"/>
  <c r="A263" i="4"/>
  <c r="T262" i="4"/>
  <c r="S262" i="4"/>
  <c r="R262" i="4"/>
  <c r="Q262" i="4"/>
  <c r="P262" i="4"/>
  <c r="M262" i="4"/>
  <c r="K262" i="4"/>
  <c r="F262" i="4"/>
  <c r="E262" i="4"/>
  <c r="D262" i="4"/>
  <c r="C262" i="4"/>
  <c r="B262" i="4"/>
  <c r="A262" i="4"/>
  <c r="T261" i="4"/>
  <c r="S261" i="4"/>
  <c r="R261" i="4"/>
  <c r="Q261" i="4"/>
  <c r="P261" i="4"/>
  <c r="M261" i="4"/>
  <c r="K261" i="4"/>
  <c r="I261" i="4"/>
  <c r="F261" i="4"/>
  <c r="E261" i="4"/>
  <c r="D261" i="4"/>
  <c r="C261" i="4"/>
  <c r="B261" i="4"/>
  <c r="A261" i="4"/>
  <c r="T260" i="4"/>
  <c r="S260" i="4"/>
  <c r="R260" i="4"/>
  <c r="Q260" i="4"/>
  <c r="P260" i="4"/>
  <c r="O260" i="4"/>
  <c r="M260" i="4"/>
  <c r="I260" i="4"/>
  <c r="F260" i="4"/>
  <c r="E260" i="4"/>
  <c r="D260" i="4"/>
  <c r="C260" i="4"/>
  <c r="B260" i="4"/>
  <c r="A260" i="4"/>
  <c r="T259" i="4"/>
  <c r="S259" i="4"/>
  <c r="R259" i="4"/>
  <c r="Q259" i="4"/>
  <c r="P259" i="4"/>
  <c r="M259" i="4"/>
  <c r="J259" i="4"/>
  <c r="I259" i="4"/>
  <c r="F259" i="4"/>
  <c r="E259" i="4"/>
  <c r="D259" i="4"/>
  <c r="C259" i="4"/>
  <c r="B259" i="4"/>
  <c r="A259" i="4"/>
  <c r="T258" i="4"/>
  <c r="S258" i="4"/>
  <c r="R258" i="4"/>
  <c r="Q258" i="4"/>
  <c r="P258" i="4"/>
  <c r="O258" i="4"/>
  <c r="N258" i="4"/>
  <c r="M258" i="4"/>
  <c r="K258" i="4"/>
  <c r="J258" i="4"/>
  <c r="I258" i="4"/>
  <c r="F258" i="4"/>
  <c r="E258" i="4"/>
  <c r="D258" i="4"/>
  <c r="C258" i="4"/>
  <c r="B258" i="4"/>
  <c r="A258" i="4"/>
  <c r="T257" i="4"/>
  <c r="S257" i="4"/>
  <c r="R257" i="4"/>
  <c r="Q257" i="4"/>
  <c r="P257" i="4"/>
  <c r="M257" i="4"/>
  <c r="J257" i="4"/>
  <c r="I257" i="4"/>
  <c r="F257" i="4"/>
  <c r="E257" i="4"/>
  <c r="D257" i="4"/>
  <c r="C257" i="4"/>
  <c r="B257" i="4"/>
  <c r="A257" i="4"/>
  <c r="T256" i="4"/>
  <c r="S256" i="4"/>
  <c r="R256" i="4"/>
  <c r="Q256" i="4"/>
  <c r="P256" i="4"/>
  <c r="O256" i="4"/>
  <c r="N256" i="4"/>
  <c r="M256" i="4"/>
  <c r="K256" i="4"/>
  <c r="J256" i="4"/>
  <c r="I256" i="4"/>
  <c r="F256" i="4"/>
  <c r="E256" i="4"/>
  <c r="D256" i="4"/>
  <c r="C256" i="4"/>
  <c r="B256" i="4"/>
  <c r="A256" i="4"/>
  <c r="T255" i="4"/>
  <c r="S255" i="4"/>
  <c r="R255" i="4"/>
  <c r="Q255" i="4"/>
  <c r="P255" i="4"/>
  <c r="O255" i="4"/>
  <c r="N255" i="4"/>
  <c r="M255" i="4"/>
  <c r="K255" i="4"/>
  <c r="J255" i="4"/>
  <c r="I255" i="4"/>
  <c r="F255" i="4"/>
  <c r="E255" i="4"/>
  <c r="D255" i="4"/>
  <c r="C255" i="4"/>
  <c r="B255" i="4"/>
  <c r="A255" i="4"/>
  <c r="T254" i="4"/>
  <c r="S254" i="4"/>
  <c r="R254" i="4"/>
  <c r="Q254" i="4"/>
  <c r="P254" i="4"/>
  <c r="O254" i="4"/>
  <c r="N254" i="4"/>
  <c r="M254" i="4"/>
  <c r="K254" i="4"/>
  <c r="J254" i="4"/>
  <c r="I254" i="4"/>
  <c r="F254" i="4"/>
  <c r="E254" i="4"/>
  <c r="D254" i="4"/>
  <c r="C254" i="4"/>
  <c r="B254" i="4"/>
  <c r="A254" i="4"/>
  <c r="T253" i="4"/>
  <c r="S253" i="4"/>
  <c r="R253" i="4"/>
  <c r="Q253" i="4"/>
  <c r="P253" i="4"/>
  <c r="O253" i="4"/>
  <c r="M253" i="4"/>
  <c r="K253" i="4"/>
  <c r="I253" i="4"/>
  <c r="H253" i="4"/>
  <c r="F253" i="4"/>
  <c r="E253" i="4"/>
  <c r="D253" i="4"/>
  <c r="C253" i="4"/>
  <c r="B253" i="4"/>
  <c r="A253" i="4"/>
  <c r="T252" i="4"/>
  <c r="S252" i="4"/>
  <c r="R252" i="4"/>
  <c r="Q252" i="4"/>
  <c r="P252" i="4"/>
  <c r="O252" i="4"/>
  <c r="M252" i="4"/>
  <c r="I252" i="4"/>
  <c r="F252" i="4"/>
  <c r="E252" i="4"/>
  <c r="D252" i="4"/>
  <c r="C252" i="4"/>
  <c r="B252" i="4"/>
  <c r="A252" i="4"/>
  <c r="T251" i="4"/>
  <c r="S251" i="4"/>
  <c r="R251" i="4"/>
  <c r="Q251" i="4"/>
  <c r="P251" i="4"/>
  <c r="O251" i="4"/>
  <c r="M251" i="4"/>
  <c r="I251" i="4"/>
  <c r="F251" i="4"/>
  <c r="E251" i="4"/>
  <c r="D251" i="4"/>
  <c r="C251" i="4"/>
  <c r="B251" i="4"/>
  <c r="A251" i="4"/>
  <c r="T250" i="4"/>
  <c r="S250" i="4"/>
  <c r="R250" i="4"/>
  <c r="Q250" i="4"/>
  <c r="P250" i="4"/>
  <c r="O250" i="4"/>
  <c r="M250" i="4"/>
  <c r="I250" i="4"/>
  <c r="F250" i="4"/>
  <c r="E250" i="4"/>
  <c r="D250" i="4"/>
  <c r="C250" i="4"/>
  <c r="B250" i="4"/>
  <c r="A250" i="4"/>
  <c r="T249" i="4"/>
  <c r="S249" i="4"/>
  <c r="R249" i="4"/>
  <c r="Q249" i="4"/>
  <c r="P249" i="4"/>
  <c r="O249" i="4"/>
  <c r="M249" i="4"/>
  <c r="I249" i="4"/>
  <c r="F249" i="4"/>
  <c r="E249" i="4"/>
  <c r="D249" i="4"/>
  <c r="C249" i="4"/>
  <c r="B249" i="4"/>
  <c r="A249" i="4"/>
  <c r="T248" i="4"/>
  <c r="S248" i="4"/>
  <c r="R248" i="4"/>
  <c r="Q248" i="4"/>
  <c r="P248" i="4"/>
  <c r="M248" i="4"/>
  <c r="K248" i="4"/>
  <c r="I248" i="4"/>
  <c r="F248" i="4"/>
  <c r="E248" i="4"/>
  <c r="D248" i="4"/>
  <c r="C248" i="4"/>
  <c r="B248" i="4"/>
  <c r="A248" i="4"/>
  <c r="T247" i="4"/>
  <c r="S247" i="4"/>
  <c r="R247" i="4"/>
  <c r="Q247" i="4"/>
  <c r="P247" i="4"/>
  <c r="M247" i="4"/>
  <c r="K247" i="4"/>
  <c r="I247" i="4"/>
  <c r="F247" i="4"/>
  <c r="E247" i="4"/>
  <c r="D247" i="4"/>
  <c r="C247" i="4"/>
  <c r="B247" i="4"/>
  <c r="A247" i="4"/>
  <c r="T246" i="4"/>
  <c r="S246" i="4"/>
  <c r="R246" i="4"/>
  <c r="Q246" i="4"/>
  <c r="P246" i="4"/>
  <c r="M246" i="4"/>
  <c r="K246" i="4"/>
  <c r="I246" i="4"/>
  <c r="F246" i="4"/>
  <c r="E246" i="4"/>
  <c r="D246" i="4"/>
  <c r="C246" i="4"/>
  <c r="B246" i="4"/>
  <c r="A246" i="4"/>
  <c r="T245" i="4"/>
  <c r="S245" i="4"/>
  <c r="R245" i="4"/>
  <c r="Q245" i="4"/>
  <c r="P245" i="4"/>
  <c r="O245" i="4"/>
  <c r="M245" i="4"/>
  <c r="I245" i="4"/>
  <c r="F245" i="4"/>
  <c r="E245" i="4"/>
  <c r="D245" i="4"/>
  <c r="C245" i="4"/>
  <c r="B245" i="4"/>
  <c r="A245" i="4"/>
  <c r="T244" i="4"/>
  <c r="S244" i="4"/>
  <c r="R244" i="4"/>
  <c r="Q244" i="4"/>
  <c r="P244" i="4"/>
  <c r="O244" i="4"/>
  <c r="N244" i="4"/>
  <c r="M244" i="4"/>
  <c r="K244" i="4"/>
  <c r="J244" i="4"/>
  <c r="I244" i="4"/>
  <c r="F244" i="4"/>
  <c r="E244" i="4"/>
  <c r="D244" i="4"/>
  <c r="C244" i="4"/>
  <c r="B244" i="4"/>
  <c r="A244" i="4"/>
  <c r="T243" i="4"/>
  <c r="S243" i="4"/>
  <c r="R243" i="4"/>
  <c r="Q243" i="4"/>
  <c r="P243" i="4"/>
  <c r="O243" i="4"/>
  <c r="N243" i="4"/>
  <c r="M243" i="4"/>
  <c r="K243" i="4"/>
  <c r="J243" i="4"/>
  <c r="I243" i="4"/>
  <c r="F243" i="4"/>
  <c r="E243" i="4"/>
  <c r="D243" i="4"/>
  <c r="C243" i="4"/>
  <c r="B243" i="4"/>
  <c r="A243" i="4"/>
  <c r="T242" i="4"/>
  <c r="S242" i="4"/>
  <c r="R242" i="4"/>
  <c r="Q242" i="4"/>
  <c r="P242" i="4"/>
  <c r="O242" i="4"/>
  <c r="M242" i="4"/>
  <c r="K242" i="4"/>
  <c r="I242" i="4"/>
  <c r="F242" i="4"/>
  <c r="E242" i="4"/>
  <c r="D242" i="4"/>
  <c r="C242" i="4"/>
  <c r="B242" i="4"/>
  <c r="A242" i="4"/>
  <c r="T241" i="4"/>
  <c r="S241" i="4"/>
  <c r="R241" i="4"/>
  <c r="Q241" i="4"/>
  <c r="P241" i="4"/>
  <c r="O241" i="4"/>
  <c r="M241" i="4"/>
  <c r="K241" i="4"/>
  <c r="I241" i="4"/>
  <c r="F241" i="4"/>
  <c r="E241" i="4"/>
  <c r="D241" i="4"/>
  <c r="C241" i="4"/>
  <c r="B241" i="4"/>
  <c r="A241" i="4"/>
  <c r="T240" i="4"/>
  <c r="S240" i="4"/>
  <c r="R240" i="4"/>
  <c r="Q240" i="4"/>
  <c r="P240" i="4"/>
  <c r="O240" i="4"/>
  <c r="M240" i="4"/>
  <c r="K240" i="4"/>
  <c r="I240" i="4"/>
  <c r="F240" i="4"/>
  <c r="E240" i="4"/>
  <c r="D240" i="4"/>
  <c r="C240" i="4"/>
  <c r="B240" i="4"/>
  <c r="A240" i="4"/>
  <c r="T239" i="4"/>
  <c r="S239" i="4"/>
  <c r="R239" i="4"/>
  <c r="Q239" i="4"/>
  <c r="P239" i="4"/>
  <c r="O239" i="4"/>
  <c r="M239" i="4"/>
  <c r="K239" i="4"/>
  <c r="I239" i="4"/>
  <c r="F239" i="4"/>
  <c r="E239" i="4"/>
  <c r="D239" i="4"/>
  <c r="C239" i="4"/>
  <c r="B239" i="4"/>
  <c r="A239" i="4"/>
  <c r="T238" i="4"/>
  <c r="S238" i="4"/>
  <c r="R238" i="4"/>
  <c r="Q238" i="4"/>
  <c r="P238" i="4"/>
  <c r="O238" i="4"/>
  <c r="M238" i="4"/>
  <c r="K238" i="4"/>
  <c r="I238" i="4"/>
  <c r="F238" i="4"/>
  <c r="E238" i="4"/>
  <c r="D238" i="4"/>
  <c r="C238" i="4"/>
  <c r="B238" i="4"/>
  <c r="A238" i="4"/>
  <c r="T237" i="4"/>
  <c r="S237" i="4"/>
  <c r="R237" i="4"/>
  <c r="Q237" i="4"/>
  <c r="P237" i="4"/>
  <c r="O237" i="4"/>
  <c r="M237" i="4"/>
  <c r="I237" i="4"/>
  <c r="F237" i="4"/>
  <c r="E237" i="4"/>
  <c r="D237" i="4"/>
  <c r="C237" i="4"/>
  <c r="B237" i="4"/>
  <c r="A237" i="4"/>
  <c r="T236" i="4"/>
  <c r="S236" i="4"/>
  <c r="R236" i="4"/>
  <c r="Q236" i="4"/>
  <c r="P236" i="4"/>
  <c r="O236" i="4"/>
  <c r="M236" i="4"/>
  <c r="K236" i="4"/>
  <c r="I236" i="4"/>
  <c r="F236" i="4"/>
  <c r="E236" i="4"/>
  <c r="D236" i="4"/>
  <c r="C236" i="4"/>
  <c r="B236" i="4"/>
  <c r="A236" i="4"/>
  <c r="T235" i="4"/>
  <c r="S235" i="4"/>
  <c r="R235" i="4"/>
  <c r="Q235" i="4"/>
  <c r="P235" i="4"/>
  <c r="O235" i="4"/>
  <c r="M235" i="4"/>
  <c r="K235" i="4"/>
  <c r="I235" i="4"/>
  <c r="F235" i="4"/>
  <c r="E235" i="4"/>
  <c r="D235" i="4"/>
  <c r="C235" i="4"/>
  <c r="B235" i="4"/>
  <c r="A235" i="4"/>
  <c r="T234" i="4"/>
  <c r="S234" i="4"/>
  <c r="R234" i="4"/>
  <c r="Q234" i="4"/>
  <c r="P234" i="4"/>
  <c r="O234" i="4"/>
  <c r="M234" i="4"/>
  <c r="K234" i="4"/>
  <c r="I234" i="4"/>
  <c r="F234" i="4"/>
  <c r="E234" i="4"/>
  <c r="D234" i="4"/>
  <c r="C234" i="4"/>
  <c r="B234" i="4"/>
  <c r="A234" i="4"/>
  <c r="T233" i="4"/>
  <c r="S233" i="4"/>
  <c r="R233" i="4"/>
  <c r="Q233" i="4"/>
  <c r="P233" i="4"/>
  <c r="O233" i="4"/>
  <c r="M233" i="4"/>
  <c r="K233" i="4"/>
  <c r="I233" i="4"/>
  <c r="F233" i="4"/>
  <c r="E233" i="4"/>
  <c r="D233" i="4"/>
  <c r="C233" i="4"/>
  <c r="B233" i="4"/>
  <c r="A233" i="4"/>
  <c r="T232" i="4"/>
  <c r="S232" i="4"/>
  <c r="R232" i="4"/>
  <c r="Q232" i="4"/>
  <c r="P232" i="4"/>
  <c r="O232" i="4"/>
  <c r="M232" i="4"/>
  <c r="K232" i="4"/>
  <c r="J232" i="4"/>
  <c r="I232" i="4"/>
  <c r="H232" i="4"/>
  <c r="G232" i="4"/>
  <c r="F232" i="4"/>
  <c r="E232" i="4"/>
  <c r="D232" i="4"/>
  <c r="C232" i="4"/>
  <c r="B232" i="4"/>
  <c r="A232" i="4"/>
  <c r="T231" i="4"/>
  <c r="S231" i="4"/>
  <c r="R231" i="4"/>
  <c r="Q231" i="4"/>
  <c r="P231" i="4"/>
  <c r="M231" i="4"/>
  <c r="J231" i="4"/>
  <c r="I231" i="4"/>
  <c r="F231" i="4"/>
  <c r="E231" i="4"/>
  <c r="D231" i="4"/>
  <c r="C231" i="4"/>
  <c r="B231" i="4"/>
  <c r="A231" i="4"/>
  <c r="T230" i="4"/>
  <c r="S230" i="4"/>
  <c r="R230" i="4"/>
  <c r="Q230" i="4"/>
  <c r="P230" i="4"/>
  <c r="O230" i="4"/>
  <c r="M230" i="4"/>
  <c r="J230" i="4"/>
  <c r="I230" i="4"/>
  <c r="F230" i="4"/>
  <c r="E230" i="4"/>
  <c r="D230" i="4"/>
  <c r="C230" i="4"/>
  <c r="B230" i="4"/>
  <c r="A230" i="4"/>
  <c r="T229" i="4"/>
  <c r="S229" i="4"/>
  <c r="R229" i="4"/>
  <c r="Q229" i="4"/>
  <c r="P229" i="4"/>
  <c r="O229" i="4"/>
  <c r="N229" i="4"/>
  <c r="M229" i="4"/>
  <c r="K229" i="4"/>
  <c r="J229" i="4"/>
  <c r="I229" i="4"/>
  <c r="F229" i="4"/>
  <c r="E229" i="4"/>
  <c r="D229" i="4"/>
  <c r="C229" i="4"/>
  <c r="B229" i="4"/>
  <c r="A229" i="4"/>
  <c r="T228" i="4"/>
  <c r="S228" i="4"/>
  <c r="R228" i="4"/>
  <c r="Q228" i="4"/>
  <c r="P228" i="4"/>
  <c r="O228" i="4"/>
  <c r="N228" i="4"/>
  <c r="M228" i="4"/>
  <c r="K228" i="4"/>
  <c r="J228" i="4"/>
  <c r="I228" i="4"/>
  <c r="F228" i="4"/>
  <c r="E228" i="4"/>
  <c r="D228" i="4"/>
  <c r="C228" i="4"/>
  <c r="B228" i="4"/>
  <c r="A228" i="4"/>
  <c r="T227" i="4"/>
  <c r="S227" i="4"/>
  <c r="R227" i="4"/>
  <c r="Q227" i="4"/>
  <c r="P227" i="4"/>
  <c r="M227" i="4"/>
  <c r="J227" i="4"/>
  <c r="I227" i="4"/>
  <c r="F227" i="4"/>
  <c r="E227" i="4"/>
  <c r="D227" i="4"/>
  <c r="C227" i="4"/>
  <c r="B227" i="4"/>
  <c r="A227" i="4"/>
  <c r="T226" i="4"/>
  <c r="S226" i="4"/>
  <c r="R226" i="4"/>
  <c r="Q226" i="4"/>
  <c r="P226" i="4"/>
  <c r="M226" i="4"/>
  <c r="K226" i="4"/>
  <c r="J226" i="4"/>
  <c r="F226" i="4"/>
  <c r="E226" i="4"/>
  <c r="D226" i="4"/>
  <c r="C226" i="4"/>
  <c r="B226" i="4"/>
  <c r="A226" i="4"/>
  <c r="T225" i="4"/>
  <c r="S225" i="4"/>
  <c r="R225" i="4"/>
  <c r="Q225" i="4"/>
  <c r="P225" i="4"/>
  <c r="O225" i="4"/>
  <c r="N225" i="4"/>
  <c r="M225" i="4"/>
  <c r="K225" i="4"/>
  <c r="J225" i="4"/>
  <c r="I225" i="4"/>
  <c r="F225" i="4"/>
  <c r="E225" i="4"/>
  <c r="D225" i="4"/>
  <c r="C225" i="4"/>
  <c r="B225" i="4"/>
  <c r="A225" i="4"/>
  <c r="T224" i="4"/>
  <c r="S224" i="4"/>
  <c r="R224" i="4"/>
  <c r="Q224" i="4"/>
  <c r="P224" i="4"/>
  <c r="O224" i="4"/>
  <c r="N224" i="4"/>
  <c r="M224" i="4"/>
  <c r="K224" i="4"/>
  <c r="J224" i="4"/>
  <c r="I224" i="4"/>
  <c r="F224" i="4"/>
  <c r="E224" i="4"/>
  <c r="D224" i="4"/>
  <c r="C224" i="4"/>
  <c r="B224" i="4"/>
  <c r="A224" i="4"/>
  <c r="T223" i="4"/>
  <c r="S223" i="4"/>
  <c r="R223" i="4"/>
  <c r="Q223" i="4"/>
  <c r="P223" i="4"/>
  <c r="O223" i="4"/>
  <c r="N223" i="4"/>
  <c r="M223" i="4"/>
  <c r="K223" i="4"/>
  <c r="J223" i="4"/>
  <c r="I223" i="4"/>
  <c r="F223" i="4"/>
  <c r="E223" i="4"/>
  <c r="D223" i="4"/>
  <c r="C223" i="4"/>
  <c r="B223" i="4"/>
  <c r="A223" i="4"/>
  <c r="T222" i="4"/>
  <c r="S222" i="4"/>
  <c r="R222" i="4"/>
  <c r="Q222" i="4"/>
  <c r="P222" i="4"/>
  <c r="O222" i="4"/>
  <c r="N222" i="4"/>
  <c r="M222" i="4"/>
  <c r="K222" i="4"/>
  <c r="J222" i="4"/>
  <c r="I222" i="4"/>
  <c r="F222" i="4"/>
  <c r="E222" i="4"/>
  <c r="D222" i="4"/>
  <c r="C222" i="4"/>
  <c r="B222" i="4"/>
  <c r="A222" i="4"/>
  <c r="T221" i="4"/>
  <c r="S221" i="4"/>
  <c r="R221" i="4"/>
  <c r="Q221" i="4"/>
  <c r="P221" i="4"/>
  <c r="O221" i="4"/>
  <c r="N221" i="4"/>
  <c r="M221" i="4"/>
  <c r="K221" i="4"/>
  <c r="J221" i="4"/>
  <c r="I221" i="4"/>
  <c r="F221" i="4"/>
  <c r="E221" i="4"/>
  <c r="D221" i="4"/>
  <c r="C221" i="4"/>
  <c r="B221" i="4"/>
  <c r="A221" i="4"/>
  <c r="T220" i="4"/>
  <c r="S220" i="4"/>
  <c r="R220" i="4"/>
  <c r="Q220" i="4"/>
  <c r="P220" i="4"/>
  <c r="O220" i="4"/>
  <c r="N220" i="4"/>
  <c r="M220" i="4"/>
  <c r="K220" i="4"/>
  <c r="J220" i="4"/>
  <c r="I220" i="4"/>
  <c r="F220" i="4"/>
  <c r="E220" i="4"/>
  <c r="D220" i="4"/>
  <c r="C220" i="4"/>
  <c r="B220" i="4"/>
  <c r="A220" i="4"/>
  <c r="T219" i="4"/>
  <c r="S219" i="4"/>
  <c r="R219" i="4"/>
  <c r="Q219" i="4"/>
  <c r="P219" i="4"/>
  <c r="O219" i="4"/>
  <c r="N219" i="4"/>
  <c r="M219" i="4"/>
  <c r="K219" i="4"/>
  <c r="J219" i="4"/>
  <c r="I219" i="4"/>
  <c r="F219" i="4"/>
  <c r="E219" i="4"/>
  <c r="D219" i="4"/>
  <c r="C219" i="4"/>
  <c r="B219" i="4"/>
  <c r="A219" i="4"/>
  <c r="T218" i="4"/>
  <c r="S218" i="4"/>
  <c r="R218" i="4"/>
  <c r="Q218" i="4"/>
  <c r="P218" i="4"/>
  <c r="O218" i="4"/>
  <c r="N218" i="4"/>
  <c r="M218" i="4"/>
  <c r="K218" i="4"/>
  <c r="J218" i="4"/>
  <c r="I218" i="4"/>
  <c r="F218" i="4"/>
  <c r="E218" i="4"/>
  <c r="D218" i="4"/>
  <c r="C218" i="4"/>
  <c r="B218" i="4"/>
  <c r="A218" i="4"/>
  <c r="T217" i="4"/>
  <c r="S217" i="4"/>
  <c r="R217" i="4"/>
  <c r="Q217" i="4"/>
  <c r="P217" i="4"/>
  <c r="O217" i="4"/>
  <c r="N217" i="4"/>
  <c r="M217" i="4"/>
  <c r="K217" i="4"/>
  <c r="J217" i="4"/>
  <c r="I217" i="4"/>
  <c r="F217" i="4"/>
  <c r="E217" i="4"/>
  <c r="D217" i="4"/>
  <c r="C217" i="4"/>
  <c r="B217" i="4"/>
  <c r="A217" i="4"/>
  <c r="T216" i="4"/>
  <c r="S216" i="4"/>
  <c r="R216" i="4"/>
  <c r="Q216" i="4"/>
  <c r="P216" i="4"/>
  <c r="M216" i="4"/>
  <c r="K216" i="4"/>
  <c r="G216" i="4"/>
  <c r="F216" i="4"/>
  <c r="E216" i="4"/>
  <c r="D216" i="4"/>
  <c r="C216" i="4"/>
  <c r="B216" i="4"/>
  <c r="A216" i="4"/>
  <c r="T215" i="4"/>
  <c r="S215" i="4"/>
  <c r="R215" i="4"/>
  <c r="Q215" i="4"/>
  <c r="P215" i="4"/>
  <c r="M215" i="4"/>
  <c r="K215" i="4"/>
  <c r="I215" i="4"/>
  <c r="F215" i="4"/>
  <c r="E215" i="4"/>
  <c r="D215" i="4"/>
  <c r="C215" i="4"/>
  <c r="B215" i="4"/>
  <c r="A215" i="4"/>
  <c r="T214" i="4"/>
  <c r="S214" i="4"/>
  <c r="R214" i="4"/>
  <c r="Q214" i="4"/>
  <c r="P214" i="4"/>
  <c r="O214" i="4"/>
  <c r="M214" i="4"/>
  <c r="K214" i="4"/>
  <c r="I214" i="4"/>
  <c r="H214" i="4"/>
  <c r="F214" i="4"/>
  <c r="E214" i="4"/>
  <c r="D214" i="4"/>
  <c r="C214" i="4"/>
  <c r="B214" i="4"/>
  <c r="A214" i="4"/>
  <c r="T213" i="4"/>
  <c r="S213" i="4"/>
  <c r="R213" i="4"/>
  <c r="Q213" i="4"/>
  <c r="P213" i="4"/>
  <c r="O213" i="4"/>
  <c r="M213" i="4"/>
  <c r="K213" i="4"/>
  <c r="I213" i="4"/>
  <c r="H213" i="4"/>
  <c r="F213" i="4"/>
  <c r="E213" i="4"/>
  <c r="D213" i="4"/>
  <c r="C213" i="4"/>
  <c r="B213" i="4"/>
  <c r="A213" i="4"/>
  <c r="T212" i="4"/>
  <c r="S212" i="4"/>
  <c r="R212" i="4"/>
  <c r="Q212" i="4"/>
  <c r="P212" i="4"/>
  <c r="O212" i="4"/>
  <c r="M212" i="4"/>
  <c r="K212" i="4"/>
  <c r="I212" i="4"/>
  <c r="H212" i="4"/>
  <c r="F212" i="4"/>
  <c r="E212" i="4"/>
  <c r="D212" i="4"/>
  <c r="C212" i="4"/>
  <c r="B212" i="4"/>
  <c r="A212" i="4"/>
  <c r="T211" i="4"/>
  <c r="S211" i="4"/>
  <c r="R211" i="4"/>
  <c r="Q211" i="4"/>
  <c r="P211" i="4"/>
  <c r="O211" i="4"/>
  <c r="M211" i="4"/>
  <c r="K211" i="4"/>
  <c r="I211" i="4"/>
  <c r="H211" i="4"/>
  <c r="F211" i="4"/>
  <c r="E211" i="4"/>
  <c r="D211" i="4"/>
  <c r="C211" i="4"/>
  <c r="B211" i="4"/>
  <c r="A211" i="4"/>
  <c r="T210" i="4"/>
  <c r="S210" i="4"/>
  <c r="R210" i="4"/>
  <c r="Q210" i="4"/>
  <c r="P210" i="4"/>
  <c r="O210" i="4"/>
  <c r="M210" i="4"/>
  <c r="K210" i="4"/>
  <c r="I210" i="4"/>
  <c r="H210" i="4"/>
  <c r="F210" i="4"/>
  <c r="E210" i="4"/>
  <c r="D210" i="4"/>
  <c r="C210" i="4"/>
  <c r="B210" i="4"/>
  <c r="A210" i="4"/>
  <c r="T209" i="4"/>
  <c r="S209" i="4"/>
  <c r="R209" i="4"/>
  <c r="Q209" i="4"/>
  <c r="P209" i="4"/>
  <c r="M209" i="4"/>
  <c r="I209" i="4"/>
  <c r="F209" i="4"/>
  <c r="E209" i="4"/>
  <c r="D209" i="4"/>
  <c r="C209" i="4"/>
  <c r="B209" i="4"/>
  <c r="A209" i="4"/>
  <c r="T208" i="4"/>
  <c r="S208" i="4"/>
  <c r="R208" i="4"/>
  <c r="Q208" i="4"/>
  <c r="P208" i="4"/>
  <c r="O208" i="4"/>
  <c r="M208" i="4"/>
  <c r="I208" i="4"/>
  <c r="F208" i="4"/>
  <c r="E208" i="4"/>
  <c r="D208" i="4"/>
  <c r="C208" i="4"/>
  <c r="B208" i="4"/>
  <c r="A208" i="4"/>
  <c r="T207" i="4"/>
  <c r="S207" i="4"/>
  <c r="R207" i="4"/>
  <c r="Q207" i="4"/>
  <c r="P207" i="4"/>
  <c r="O207" i="4"/>
  <c r="M207" i="4"/>
  <c r="I207" i="4"/>
  <c r="F207" i="4"/>
  <c r="E207" i="4"/>
  <c r="D207" i="4"/>
  <c r="C207" i="4"/>
  <c r="B207" i="4"/>
  <c r="A207" i="4"/>
  <c r="T206" i="4"/>
  <c r="S206" i="4"/>
  <c r="R206" i="4"/>
  <c r="Q206" i="4"/>
  <c r="P206" i="4"/>
  <c r="O206" i="4"/>
  <c r="M206" i="4"/>
  <c r="I206" i="4"/>
  <c r="F206" i="4"/>
  <c r="E206" i="4"/>
  <c r="D206" i="4"/>
  <c r="C206" i="4"/>
  <c r="B206" i="4"/>
  <c r="A206" i="4"/>
  <c r="T205" i="4"/>
  <c r="S205" i="4"/>
  <c r="R205" i="4"/>
  <c r="Q205" i="4"/>
  <c r="P205" i="4"/>
  <c r="O205" i="4"/>
  <c r="M205" i="4"/>
  <c r="I205" i="4"/>
  <c r="F205" i="4"/>
  <c r="E205" i="4"/>
  <c r="D205" i="4"/>
  <c r="C205" i="4"/>
  <c r="B205" i="4"/>
  <c r="A205" i="4"/>
  <c r="T204" i="4"/>
  <c r="S204" i="4"/>
  <c r="R204" i="4"/>
  <c r="Q204" i="4"/>
  <c r="P204" i="4"/>
  <c r="O204" i="4"/>
  <c r="M204" i="4"/>
  <c r="I204" i="4"/>
  <c r="F204" i="4"/>
  <c r="E204" i="4"/>
  <c r="D204" i="4"/>
  <c r="C204" i="4"/>
  <c r="B204" i="4"/>
  <c r="A204" i="4"/>
  <c r="T203" i="4"/>
  <c r="S203" i="4"/>
  <c r="R203" i="4"/>
  <c r="Q203" i="4"/>
  <c r="P203" i="4"/>
  <c r="O203" i="4"/>
  <c r="M203" i="4"/>
  <c r="I203" i="4"/>
  <c r="F203" i="4"/>
  <c r="E203" i="4"/>
  <c r="D203" i="4"/>
  <c r="C203" i="4"/>
  <c r="B203" i="4"/>
  <c r="A203" i="4"/>
  <c r="T202" i="4"/>
  <c r="S202" i="4"/>
  <c r="R202" i="4"/>
  <c r="Q202" i="4"/>
  <c r="P202" i="4"/>
  <c r="O202" i="4"/>
  <c r="M202" i="4"/>
  <c r="I202" i="4"/>
  <c r="F202" i="4"/>
  <c r="E202" i="4"/>
  <c r="D202" i="4"/>
  <c r="C202" i="4"/>
  <c r="B202" i="4"/>
  <c r="A202" i="4"/>
  <c r="T201" i="4"/>
  <c r="S201" i="4"/>
  <c r="R201" i="4"/>
  <c r="Q201" i="4"/>
  <c r="P201" i="4"/>
  <c r="O201" i="4"/>
  <c r="M201" i="4"/>
  <c r="I201" i="4"/>
  <c r="F201" i="4"/>
  <c r="E201" i="4"/>
  <c r="D201" i="4"/>
  <c r="C201" i="4"/>
  <c r="B201" i="4"/>
  <c r="A201" i="4"/>
  <c r="T200" i="4"/>
  <c r="S200" i="4"/>
  <c r="R200" i="4"/>
  <c r="Q200" i="4"/>
  <c r="P200" i="4"/>
  <c r="O200" i="4"/>
  <c r="M200" i="4"/>
  <c r="K200" i="4"/>
  <c r="I200" i="4"/>
  <c r="F200" i="4"/>
  <c r="E200" i="4"/>
  <c r="D200" i="4"/>
  <c r="C200" i="4"/>
  <c r="B200" i="4"/>
  <c r="A200" i="4"/>
  <c r="T199" i="4"/>
  <c r="S199" i="4"/>
  <c r="R199" i="4"/>
  <c r="Q199" i="4"/>
  <c r="P199" i="4"/>
  <c r="O199" i="4"/>
  <c r="N199" i="4"/>
  <c r="M199" i="4"/>
  <c r="K199" i="4"/>
  <c r="J199" i="4"/>
  <c r="I199" i="4"/>
  <c r="F199" i="4"/>
  <c r="E199" i="4"/>
  <c r="D199" i="4"/>
  <c r="C199" i="4"/>
  <c r="B199" i="4"/>
  <c r="A199" i="4"/>
  <c r="T198" i="4"/>
  <c r="S198" i="4"/>
  <c r="R198" i="4"/>
  <c r="Q198" i="4"/>
  <c r="P198" i="4"/>
  <c r="O198" i="4"/>
  <c r="N198" i="4"/>
  <c r="M198" i="4"/>
  <c r="K198" i="4"/>
  <c r="J198" i="4"/>
  <c r="I198" i="4"/>
  <c r="F198" i="4"/>
  <c r="E198" i="4"/>
  <c r="D198" i="4"/>
  <c r="C198" i="4"/>
  <c r="B198" i="4"/>
  <c r="A198" i="4"/>
  <c r="T197" i="4"/>
  <c r="S197" i="4"/>
  <c r="R197" i="4"/>
  <c r="Q197" i="4"/>
  <c r="P197" i="4"/>
  <c r="O197" i="4"/>
  <c r="N197" i="4"/>
  <c r="M197" i="4"/>
  <c r="K197" i="4"/>
  <c r="J197" i="4"/>
  <c r="I197" i="4"/>
  <c r="F197" i="4"/>
  <c r="E197" i="4"/>
  <c r="D197" i="4"/>
  <c r="C197" i="4"/>
  <c r="B197" i="4"/>
  <c r="A197" i="4"/>
  <c r="T196" i="4"/>
  <c r="S196" i="4"/>
  <c r="R196" i="4"/>
  <c r="Q196" i="4"/>
  <c r="P196" i="4"/>
  <c r="M196" i="4"/>
  <c r="K196" i="4"/>
  <c r="I196" i="4"/>
  <c r="F196" i="4"/>
  <c r="E196" i="4"/>
  <c r="D196" i="4"/>
  <c r="C196" i="4"/>
  <c r="B196" i="4"/>
  <c r="A196" i="4"/>
  <c r="T195" i="4"/>
  <c r="S195" i="4"/>
  <c r="R195" i="4"/>
  <c r="Q195" i="4"/>
  <c r="P195" i="4"/>
  <c r="M195" i="4"/>
  <c r="K195" i="4"/>
  <c r="I195" i="4"/>
  <c r="F195" i="4"/>
  <c r="E195" i="4"/>
  <c r="D195" i="4"/>
  <c r="C195" i="4"/>
  <c r="B195" i="4"/>
  <c r="A195" i="4"/>
  <c r="T194" i="4"/>
  <c r="S194" i="4"/>
  <c r="R194" i="4"/>
  <c r="Q194" i="4"/>
  <c r="P194" i="4"/>
  <c r="M194" i="4"/>
  <c r="K194" i="4"/>
  <c r="I194" i="4"/>
  <c r="F194" i="4"/>
  <c r="E194" i="4"/>
  <c r="D194" i="4"/>
  <c r="C194" i="4"/>
  <c r="B194" i="4"/>
  <c r="A194" i="4"/>
  <c r="T193" i="4"/>
  <c r="S193" i="4"/>
  <c r="R193" i="4"/>
  <c r="Q193" i="4"/>
  <c r="P193" i="4"/>
  <c r="M193" i="4"/>
  <c r="K193" i="4"/>
  <c r="I193" i="4"/>
  <c r="F193" i="4"/>
  <c r="E193" i="4"/>
  <c r="D193" i="4"/>
  <c r="C193" i="4"/>
  <c r="B193" i="4"/>
  <c r="A193" i="4"/>
  <c r="T192" i="4"/>
  <c r="S192" i="4"/>
  <c r="R192" i="4"/>
  <c r="Q192" i="4"/>
  <c r="P192" i="4"/>
  <c r="M192" i="4"/>
  <c r="K192" i="4"/>
  <c r="I192" i="4"/>
  <c r="F192" i="4"/>
  <c r="E192" i="4"/>
  <c r="D192" i="4"/>
  <c r="C192" i="4"/>
  <c r="B192" i="4"/>
  <c r="A192" i="4"/>
  <c r="T191" i="4"/>
  <c r="S191" i="4"/>
  <c r="R191" i="4"/>
  <c r="Q191" i="4"/>
  <c r="P191" i="4"/>
  <c r="O191" i="4"/>
  <c r="M191" i="4"/>
  <c r="K191" i="4"/>
  <c r="I191" i="4"/>
  <c r="F191" i="4"/>
  <c r="E191" i="4"/>
  <c r="D191" i="4"/>
  <c r="C191" i="4"/>
  <c r="B191" i="4"/>
  <c r="A191" i="4"/>
  <c r="T190" i="4"/>
  <c r="S190" i="4"/>
  <c r="R190" i="4"/>
  <c r="Q190" i="4"/>
  <c r="P190" i="4"/>
  <c r="O190" i="4"/>
  <c r="M190" i="4"/>
  <c r="K190" i="4"/>
  <c r="I190" i="4"/>
  <c r="F190" i="4"/>
  <c r="E190" i="4"/>
  <c r="D190" i="4"/>
  <c r="C190" i="4"/>
  <c r="B190" i="4"/>
  <c r="A190" i="4"/>
  <c r="T189" i="4"/>
  <c r="S189" i="4"/>
  <c r="R189" i="4"/>
  <c r="Q189" i="4"/>
  <c r="P189" i="4"/>
  <c r="M189" i="4"/>
  <c r="K189" i="4"/>
  <c r="I189" i="4"/>
  <c r="F189" i="4"/>
  <c r="E189" i="4"/>
  <c r="D189" i="4"/>
  <c r="C189" i="4"/>
  <c r="B189" i="4"/>
  <c r="A189" i="4"/>
  <c r="T188" i="4"/>
  <c r="S188" i="4"/>
  <c r="R188" i="4"/>
  <c r="Q188" i="4"/>
  <c r="P188" i="4"/>
  <c r="O188" i="4"/>
  <c r="M188" i="4"/>
  <c r="K188" i="4"/>
  <c r="I188" i="4"/>
  <c r="F188" i="4"/>
  <c r="E188" i="4"/>
  <c r="D188" i="4"/>
  <c r="C188" i="4"/>
  <c r="B188" i="4"/>
  <c r="A188" i="4"/>
  <c r="T187" i="4"/>
  <c r="S187" i="4"/>
  <c r="R187" i="4"/>
  <c r="Q187" i="4"/>
  <c r="P187" i="4"/>
  <c r="O187" i="4"/>
  <c r="M187" i="4"/>
  <c r="K187" i="4"/>
  <c r="I187" i="4"/>
  <c r="F187" i="4"/>
  <c r="E187" i="4"/>
  <c r="D187" i="4"/>
  <c r="C187" i="4"/>
  <c r="B187" i="4"/>
  <c r="A187" i="4"/>
  <c r="T186" i="4"/>
  <c r="S186" i="4"/>
  <c r="R186" i="4"/>
  <c r="Q186" i="4"/>
  <c r="P186" i="4"/>
  <c r="M186" i="4"/>
  <c r="K186" i="4"/>
  <c r="I186" i="4"/>
  <c r="G186" i="4"/>
  <c r="F186" i="4"/>
  <c r="E186" i="4"/>
  <c r="D186" i="4"/>
  <c r="C186" i="4"/>
  <c r="B186" i="4"/>
  <c r="A186" i="4"/>
  <c r="T185" i="4"/>
  <c r="S185" i="4"/>
  <c r="R185" i="4"/>
  <c r="Q185" i="4"/>
  <c r="P185" i="4"/>
  <c r="O185" i="4"/>
  <c r="M185" i="4"/>
  <c r="J185" i="4"/>
  <c r="I185" i="4"/>
  <c r="F185" i="4"/>
  <c r="E185" i="4"/>
  <c r="D185" i="4"/>
  <c r="C185" i="4"/>
  <c r="B185" i="4"/>
  <c r="A185" i="4"/>
  <c r="T184" i="4"/>
  <c r="S184" i="4"/>
  <c r="R184" i="4"/>
  <c r="Q184" i="4"/>
  <c r="P184" i="4"/>
  <c r="M184" i="4"/>
  <c r="J184" i="4"/>
  <c r="I184" i="4"/>
  <c r="F184" i="4"/>
  <c r="E184" i="4"/>
  <c r="D184" i="4"/>
  <c r="C184" i="4"/>
  <c r="B184" i="4"/>
  <c r="A184" i="4"/>
  <c r="T183" i="4"/>
  <c r="S183" i="4"/>
  <c r="R183" i="4"/>
  <c r="Q183" i="4"/>
  <c r="P183" i="4"/>
  <c r="M183" i="4"/>
  <c r="J183" i="4"/>
  <c r="I183" i="4"/>
  <c r="F183" i="4"/>
  <c r="E183" i="4"/>
  <c r="D183" i="4"/>
  <c r="C183" i="4"/>
  <c r="B183" i="4"/>
  <c r="A183" i="4"/>
  <c r="T182" i="4"/>
  <c r="S182" i="4"/>
  <c r="R182" i="4"/>
  <c r="Q182" i="4"/>
  <c r="P182" i="4"/>
  <c r="O182" i="4"/>
  <c r="N182" i="4"/>
  <c r="M182" i="4"/>
  <c r="K182" i="4"/>
  <c r="J182" i="4"/>
  <c r="I182" i="4"/>
  <c r="F182" i="4"/>
  <c r="E182" i="4"/>
  <c r="D182" i="4"/>
  <c r="C182" i="4"/>
  <c r="B182" i="4"/>
  <c r="A182" i="4"/>
  <c r="T181" i="4"/>
  <c r="S181" i="4"/>
  <c r="R181" i="4"/>
  <c r="Q181" i="4"/>
  <c r="P181" i="4"/>
  <c r="O181" i="4"/>
  <c r="N181" i="4"/>
  <c r="M181" i="4"/>
  <c r="K181" i="4"/>
  <c r="J181" i="4"/>
  <c r="I181" i="4"/>
  <c r="F181" i="4"/>
  <c r="E181" i="4"/>
  <c r="D181" i="4"/>
  <c r="C181" i="4"/>
  <c r="B181" i="4"/>
  <c r="A181" i="4"/>
  <c r="T180" i="4"/>
  <c r="S180" i="4"/>
  <c r="R180" i="4"/>
  <c r="Q180" i="4"/>
  <c r="P180" i="4"/>
  <c r="O180" i="4"/>
  <c r="M180" i="4"/>
  <c r="K180" i="4"/>
  <c r="I180" i="4"/>
  <c r="F180" i="4"/>
  <c r="E180" i="4"/>
  <c r="D180" i="4"/>
  <c r="C180" i="4"/>
  <c r="B180" i="4"/>
  <c r="A180" i="4"/>
  <c r="T179" i="4"/>
  <c r="S179" i="4"/>
  <c r="R179" i="4"/>
  <c r="Q179" i="4"/>
  <c r="P179" i="4"/>
  <c r="O179" i="4"/>
  <c r="M179" i="4"/>
  <c r="I179" i="4"/>
  <c r="F179" i="4"/>
  <c r="E179" i="4"/>
  <c r="D179" i="4"/>
  <c r="C179" i="4"/>
  <c r="B179" i="4"/>
  <c r="A179" i="4"/>
  <c r="T178" i="4"/>
  <c r="S178" i="4"/>
  <c r="R178" i="4"/>
  <c r="Q178" i="4"/>
  <c r="P178" i="4"/>
  <c r="O178" i="4"/>
  <c r="M178" i="4"/>
  <c r="I178" i="4"/>
  <c r="F178" i="4"/>
  <c r="E178" i="4"/>
  <c r="D178" i="4"/>
  <c r="C178" i="4"/>
  <c r="B178" i="4"/>
  <c r="A178" i="4"/>
  <c r="T177" i="4"/>
  <c r="S177" i="4"/>
  <c r="R177" i="4"/>
  <c r="Q177" i="4"/>
  <c r="P177" i="4"/>
  <c r="O177" i="4"/>
  <c r="M177" i="4"/>
  <c r="I177" i="4"/>
  <c r="F177" i="4"/>
  <c r="E177" i="4"/>
  <c r="D177" i="4"/>
  <c r="C177" i="4"/>
  <c r="B177" i="4"/>
  <c r="A177" i="4"/>
  <c r="T176" i="4"/>
  <c r="S176" i="4"/>
  <c r="R176" i="4"/>
  <c r="Q176" i="4"/>
  <c r="P176" i="4"/>
  <c r="O176" i="4"/>
  <c r="M176" i="4"/>
  <c r="I176" i="4"/>
  <c r="F176" i="4"/>
  <c r="E176" i="4"/>
  <c r="D176" i="4"/>
  <c r="C176" i="4"/>
  <c r="B176" i="4"/>
  <c r="A176" i="4"/>
  <c r="T175" i="4"/>
  <c r="S175" i="4"/>
  <c r="R175" i="4"/>
  <c r="Q175" i="4"/>
  <c r="P175" i="4"/>
  <c r="O175" i="4"/>
  <c r="M175" i="4"/>
  <c r="I175" i="4"/>
  <c r="F175" i="4"/>
  <c r="E175" i="4"/>
  <c r="D175" i="4"/>
  <c r="C175" i="4"/>
  <c r="B175" i="4"/>
  <c r="A175" i="4"/>
  <c r="T174" i="4"/>
  <c r="S174" i="4"/>
  <c r="R174" i="4"/>
  <c r="Q174" i="4"/>
  <c r="P174" i="4"/>
  <c r="O174" i="4"/>
  <c r="M174" i="4"/>
  <c r="K174" i="4"/>
  <c r="I174" i="4"/>
  <c r="F174" i="4"/>
  <c r="E174" i="4"/>
  <c r="D174" i="4"/>
  <c r="C174" i="4"/>
  <c r="B174" i="4"/>
  <c r="A174" i="4"/>
  <c r="T173" i="4"/>
  <c r="S173" i="4"/>
  <c r="R173" i="4"/>
  <c r="Q173" i="4"/>
  <c r="P173" i="4"/>
  <c r="O173" i="4"/>
  <c r="M173" i="4"/>
  <c r="K173" i="4"/>
  <c r="I173" i="4"/>
  <c r="F173" i="4"/>
  <c r="E173" i="4"/>
  <c r="D173" i="4"/>
  <c r="C173" i="4"/>
  <c r="B173" i="4"/>
  <c r="A173" i="4"/>
  <c r="T172" i="4"/>
  <c r="S172" i="4"/>
  <c r="R172" i="4"/>
  <c r="Q172" i="4"/>
  <c r="P172" i="4"/>
  <c r="O172" i="4"/>
  <c r="M172" i="4"/>
  <c r="K172" i="4"/>
  <c r="I172" i="4"/>
  <c r="F172" i="4"/>
  <c r="E172" i="4"/>
  <c r="D172" i="4"/>
  <c r="C172" i="4"/>
  <c r="B172" i="4"/>
  <c r="A172" i="4"/>
  <c r="T171" i="4"/>
  <c r="S171" i="4"/>
  <c r="R171" i="4"/>
  <c r="Q171" i="4"/>
  <c r="P171" i="4"/>
  <c r="O171" i="4"/>
  <c r="M171" i="4"/>
  <c r="K171" i="4"/>
  <c r="I171" i="4"/>
  <c r="F171" i="4"/>
  <c r="E171" i="4"/>
  <c r="D171" i="4"/>
  <c r="C171" i="4"/>
  <c r="B171" i="4"/>
  <c r="A171" i="4"/>
  <c r="T170" i="4"/>
  <c r="S170" i="4"/>
  <c r="R170" i="4"/>
  <c r="Q170" i="4"/>
  <c r="P170" i="4"/>
  <c r="O170" i="4"/>
  <c r="M170" i="4"/>
  <c r="K170" i="4"/>
  <c r="I170" i="4"/>
  <c r="F170" i="4"/>
  <c r="E170" i="4"/>
  <c r="D170" i="4"/>
  <c r="C170" i="4"/>
  <c r="B170" i="4"/>
  <c r="A170" i="4"/>
  <c r="T169" i="4"/>
  <c r="S169" i="4"/>
  <c r="R169" i="4"/>
  <c r="Q169" i="4"/>
  <c r="P169" i="4"/>
  <c r="O169" i="4"/>
  <c r="N169" i="4"/>
  <c r="M169" i="4"/>
  <c r="K169" i="4"/>
  <c r="J169" i="4"/>
  <c r="I169" i="4"/>
  <c r="F169" i="4"/>
  <c r="E169" i="4"/>
  <c r="D169" i="4"/>
  <c r="C169" i="4"/>
  <c r="B169" i="4"/>
  <c r="A169" i="4"/>
  <c r="T168" i="4"/>
  <c r="S168" i="4"/>
  <c r="R168" i="4"/>
  <c r="Q168" i="4"/>
  <c r="P168" i="4"/>
  <c r="O168" i="4"/>
  <c r="M168" i="4"/>
  <c r="K168" i="4"/>
  <c r="I168" i="4"/>
  <c r="F168" i="4"/>
  <c r="E168" i="4"/>
  <c r="D168" i="4"/>
  <c r="C168" i="4"/>
  <c r="B168" i="4"/>
  <c r="A168" i="4"/>
  <c r="T167" i="4"/>
  <c r="S167" i="4"/>
  <c r="R167" i="4"/>
  <c r="Q167" i="4"/>
  <c r="P167" i="4"/>
  <c r="O167" i="4"/>
  <c r="M167" i="4"/>
  <c r="I167" i="4"/>
  <c r="F167" i="4"/>
  <c r="E167" i="4"/>
  <c r="D167" i="4"/>
  <c r="C167" i="4"/>
  <c r="B167" i="4"/>
  <c r="A167" i="4"/>
  <c r="T166" i="4"/>
  <c r="S166" i="4"/>
  <c r="R166" i="4"/>
  <c r="Q166" i="4"/>
  <c r="P166" i="4"/>
  <c r="O166" i="4"/>
  <c r="M166" i="4"/>
  <c r="I166" i="4"/>
  <c r="F166" i="4"/>
  <c r="E166" i="4"/>
  <c r="D166" i="4"/>
  <c r="C166" i="4"/>
  <c r="B166" i="4"/>
  <c r="A166" i="4"/>
  <c r="T165" i="4"/>
  <c r="S165" i="4"/>
  <c r="R165" i="4"/>
  <c r="Q165" i="4"/>
  <c r="P165" i="4"/>
  <c r="O165" i="4"/>
  <c r="M165" i="4"/>
  <c r="I165" i="4"/>
  <c r="F165" i="4"/>
  <c r="E165" i="4"/>
  <c r="D165" i="4"/>
  <c r="C165" i="4"/>
  <c r="B165" i="4"/>
  <c r="A165" i="4"/>
  <c r="T164" i="4"/>
  <c r="S164" i="4"/>
  <c r="R164" i="4"/>
  <c r="Q164" i="4"/>
  <c r="P164" i="4"/>
  <c r="O164" i="4"/>
  <c r="M164" i="4"/>
  <c r="I164" i="4"/>
  <c r="F164" i="4"/>
  <c r="E164" i="4"/>
  <c r="D164" i="4"/>
  <c r="C164" i="4"/>
  <c r="B164" i="4"/>
  <c r="A164" i="4"/>
  <c r="T163" i="4"/>
  <c r="S163" i="4"/>
  <c r="R163" i="4"/>
  <c r="Q163" i="4"/>
  <c r="P163" i="4"/>
  <c r="O163" i="4"/>
  <c r="M163" i="4"/>
  <c r="I163" i="4"/>
  <c r="F163" i="4"/>
  <c r="E163" i="4"/>
  <c r="D163" i="4"/>
  <c r="C163" i="4"/>
  <c r="B163" i="4"/>
  <c r="A163" i="4"/>
  <c r="T162" i="4"/>
  <c r="S162" i="4"/>
  <c r="R162" i="4"/>
  <c r="Q162" i="4"/>
  <c r="P162" i="4"/>
  <c r="M162" i="4"/>
  <c r="K162" i="4"/>
  <c r="I162" i="4"/>
  <c r="F162" i="4"/>
  <c r="E162" i="4"/>
  <c r="D162" i="4"/>
  <c r="C162" i="4"/>
  <c r="B162" i="4"/>
  <c r="A162" i="4"/>
  <c r="T161" i="4"/>
  <c r="S161" i="4"/>
  <c r="R161" i="4"/>
  <c r="Q161" i="4"/>
  <c r="P161" i="4"/>
  <c r="O161" i="4"/>
  <c r="M161" i="4"/>
  <c r="K161" i="4"/>
  <c r="I161" i="4"/>
  <c r="F161" i="4"/>
  <c r="E161" i="4"/>
  <c r="D161" i="4"/>
  <c r="C161" i="4"/>
  <c r="B161" i="4"/>
  <c r="A161" i="4"/>
  <c r="T160" i="4"/>
  <c r="S160" i="4"/>
  <c r="R160" i="4"/>
  <c r="Q160" i="4"/>
  <c r="P160" i="4"/>
  <c r="M160" i="4"/>
  <c r="K160" i="4"/>
  <c r="I160" i="4"/>
  <c r="F160" i="4"/>
  <c r="E160" i="4"/>
  <c r="D160" i="4"/>
  <c r="C160" i="4"/>
  <c r="B160" i="4"/>
  <c r="A160" i="4"/>
  <c r="T159" i="4"/>
  <c r="S159" i="4"/>
  <c r="R159" i="4"/>
  <c r="Q159" i="4"/>
  <c r="P159" i="4"/>
  <c r="M159" i="4"/>
  <c r="K159" i="4"/>
  <c r="I159" i="4"/>
  <c r="F159" i="4"/>
  <c r="E159" i="4"/>
  <c r="D159" i="4"/>
  <c r="C159" i="4"/>
  <c r="B159" i="4"/>
  <c r="A159" i="4"/>
  <c r="T158" i="4"/>
  <c r="S158" i="4"/>
  <c r="R158" i="4"/>
  <c r="Q158" i="4"/>
  <c r="P158" i="4"/>
  <c r="O158" i="4"/>
  <c r="M158" i="4"/>
  <c r="K158" i="4"/>
  <c r="I158" i="4"/>
  <c r="F158" i="4"/>
  <c r="E158" i="4"/>
  <c r="D158" i="4"/>
  <c r="C158" i="4"/>
  <c r="B158" i="4"/>
  <c r="A158" i="4"/>
  <c r="T157" i="4"/>
  <c r="S157" i="4"/>
  <c r="R157" i="4"/>
  <c r="Q157" i="4"/>
  <c r="P157" i="4"/>
  <c r="M157" i="4"/>
  <c r="K157" i="4"/>
  <c r="I157" i="4"/>
  <c r="F157" i="4"/>
  <c r="E157" i="4"/>
  <c r="D157" i="4"/>
  <c r="C157" i="4"/>
  <c r="B157" i="4"/>
  <c r="A157" i="4"/>
  <c r="T156" i="4"/>
  <c r="S156" i="4"/>
  <c r="R156" i="4"/>
  <c r="Q156" i="4"/>
  <c r="P156" i="4"/>
  <c r="O156" i="4"/>
  <c r="M156" i="4"/>
  <c r="I156" i="4"/>
  <c r="F156" i="4"/>
  <c r="E156" i="4"/>
  <c r="D156" i="4"/>
  <c r="C156" i="4"/>
  <c r="B156" i="4"/>
  <c r="A156" i="4"/>
  <c r="T155" i="4"/>
  <c r="S155" i="4"/>
  <c r="R155" i="4"/>
  <c r="Q155" i="4"/>
  <c r="P155" i="4"/>
  <c r="O155" i="4"/>
  <c r="N155" i="4"/>
  <c r="M155" i="4"/>
  <c r="K155" i="4"/>
  <c r="J155" i="4"/>
  <c r="I155" i="4"/>
  <c r="F155" i="4"/>
  <c r="E155" i="4"/>
  <c r="D155" i="4"/>
  <c r="C155" i="4"/>
  <c r="B155" i="4"/>
  <c r="A155" i="4"/>
  <c r="T154" i="4"/>
  <c r="S154" i="4"/>
  <c r="R154" i="4"/>
  <c r="Q154" i="4"/>
  <c r="P154" i="4"/>
  <c r="O154" i="4"/>
  <c r="N154" i="4"/>
  <c r="M154" i="4"/>
  <c r="K154" i="4"/>
  <c r="J154" i="4"/>
  <c r="I154" i="4"/>
  <c r="F154" i="4"/>
  <c r="E154" i="4"/>
  <c r="D154" i="4"/>
  <c r="C154" i="4"/>
  <c r="B154" i="4"/>
  <c r="A154" i="4"/>
  <c r="T153" i="4"/>
  <c r="S153" i="4"/>
  <c r="R153" i="4"/>
  <c r="Q153" i="4"/>
  <c r="P153" i="4"/>
  <c r="O153" i="4"/>
  <c r="N153" i="4"/>
  <c r="M153" i="4"/>
  <c r="K153" i="4"/>
  <c r="J153" i="4"/>
  <c r="I153" i="4"/>
  <c r="F153" i="4"/>
  <c r="E153" i="4"/>
  <c r="D153" i="4"/>
  <c r="C153" i="4"/>
  <c r="B153" i="4"/>
  <c r="A153" i="4"/>
  <c r="T152" i="4"/>
  <c r="S152" i="4"/>
  <c r="R152" i="4"/>
  <c r="Q152" i="4"/>
  <c r="P152" i="4"/>
  <c r="O152" i="4"/>
  <c r="N152" i="4"/>
  <c r="M152" i="4"/>
  <c r="K152" i="4"/>
  <c r="J152" i="4"/>
  <c r="I152" i="4"/>
  <c r="F152" i="4"/>
  <c r="E152" i="4"/>
  <c r="D152" i="4"/>
  <c r="C152" i="4"/>
  <c r="B152" i="4"/>
  <c r="A152" i="4"/>
  <c r="T151" i="4"/>
  <c r="S151" i="4"/>
  <c r="R151" i="4"/>
  <c r="Q151" i="4"/>
  <c r="P151" i="4"/>
  <c r="O151" i="4"/>
  <c r="N151" i="4"/>
  <c r="M151" i="4"/>
  <c r="K151" i="4"/>
  <c r="J151" i="4"/>
  <c r="I151" i="4"/>
  <c r="F151" i="4"/>
  <c r="E151" i="4"/>
  <c r="D151" i="4"/>
  <c r="C151" i="4"/>
  <c r="B151" i="4"/>
  <c r="A151" i="4"/>
  <c r="T150" i="4"/>
  <c r="S150" i="4"/>
  <c r="R150" i="4"/>
  <c r="Q150" i="4"/>
  <c r="P150" i="4"/>
  <c r="O150" i="4"/>
  <c r="M150" i="4"/>
  <c r="K150" i="4"/>
  <c r="I150" i="4"/>
  <c r="F150" i="4"/>
  <c r="E150" i="4"/>
  <c r="D150" i="4"/>
  <c r="C150" i="4"/>
  <c r="B150" i="4"/>
  <c r="A150" i="4"/>
  <c r="T149" i="4"/>
  <c r="S149" i="4"/>
  <c r="R149" i="4"/>
  <c r="Q149" i="4"/>
  <c r="P149" i="4"/>
  <c r="O149" i="4"/>
  <c r="M149" i="4"/>
  <c r="K149" i="4"/>
  <c r="I149" i="4"/>
  <c r="H149" i="4"/>
  <c r="F149" i="4"/>
  <c r="E149" i="4"/>
  <c r="D149" i="4"/>
  <c r="C149" i="4"/>
  <c r="B149" i="4"/>
  <c r="A149" i="4"/>
  <c r="T148" i="4"/>
  <c r="S148" i="4"/>
  <c r="R148" i="4"/>
  <c r="Q148" i="4"/>
  <c r="P148" i="4"/>
  <c r="O148" i="4"/>
  <c r="M148" i="4"/>
  <c r="I148" i="4"/>
  <c r="F148" i="4"/>
  <c r="E148" i="4"/>
  <c r="D148" i="4"/>
  <c r="C148" i="4"/>
  <c r="B148" i="4"/>
  <c r="A148" i="4"/>
  <c r="T147" i="4"/>
  <c r="S147" i="4"/>
  <c r="R147" i="4"/>
  <c r="Q147" i="4"/>
  <c r="P147" i="4"/>
  <c r="O147" i="4"/>
  <c r="M147" i="4"/>
  <c r="I147" i="4"/>
  <c r="F147" i="4"/>
  <c r="E147" i="4"/>
  <c r="D147" i="4"/>
  <c r="C147" i="4"/>
  <c r="B147" i="4"/>
  <c r="A147" i="4"/>
  <c r="T146" i="4"/>
  <c r="S146" i="4"/>
  <c r="R146" i="4"/>
  <c r="Q146" i="4"/>
  <c r="P146" i="4"/>
  <c r="O146" i="4"/>
  <c r="M146" i="4"/>
  <c r="I146" i="4"/>
  <c r="F146" i="4"/>
  <c r="E146" i="4"/>
  <c r="D146" i="4"/>
  <c r="C146" i="4"/>
  <c r="B146" i="4"/>
  <c r="A146" i="4"/>
  <c r="T145" i="4"/>
  <c r="S145" i="4"/>
  <c r="R145" i="4"/>
  <c r="Q145" i="4"/>
  <c r="P145" i="4"/>
  <c r="O145" i="4"/>
  <c r="M145" i="4"/>
  <c r="I145" i="4"/>
  <c r="F145" i="4"/>
  <c r="E145" i="4"/>
  <c r="D145" i="4"/>
  <c r="C145" i="4"/>
  <c r="B145" i="4"/>
  <c r="A145" i="4"/>
  <c r="T144" i="4"/>
  <c r="S144" i="4"/>
  <c r="R144" i="4"/>
  <c r="Q144" i="4"/>
  <c r="P144" i="4"/>
  <c r="O144" i="4"/>
  <c r="M144" i="4"/>
  <c r="I144" i="4"/>
  <c r="F144" i="4"/>
  <c r="E144" i="4"/>
  <c r="D144" i="4"/>
  <c r="C144" i="4"/>
  <c r="B144" i="4"/>
  <c r="A144" i="4"/>
  <c r="T143" i="4"/>
  <c r="S143" i="4"/>
  <c r="R143" i="4"/>
  <c r="Q143" i="4"/>
  <c r="P143" i="4"/>
  <c r="O143" i="4"/>
  <c r="M143" i="4"/>
  <c r="K143" i="4"/>
  <c r="I143" i="4"/>
  <c r="F143" i="4"/>
  <c r="E143" i="4"/>
  <c r="D143" i="4"/>
  <c r="C143" i="4"/>
  <c r="B143" i="4"/>
  <c r="A143" i="4"/>
  <c r="T142" i="4"/>
  <c r="S142" i="4"/>
  <c r="R142" i="4"/>
  <c r="Q142" i="4"/>
  <c r="P142" i="4"/>
  <c r="O142" i="4"/>
  <c r="M142" i="4"/>
  <c r="K142" i="4"/>
  <c r="I142" i="4"/>
  <c r="F142" i="4"/>
  <c r="E142" i="4"/>
  <c r="D142" i="4"/>
  <c r="C142" i="4"/>
  <c r="B142" i="4"/>
  <c r="A142" i="4"/>
  <c r="T141" i="4"/>
  <c r="S141" i="4"/>
  <c r="R141" i="4"/>
  <c r="Q141" i="4"/>
  <c r="P141" i="4"/>
  <c r="O141" i="4"/>
  <c r="M141" i="4"/>
  <c r="K141" i="4"/>
  <c r="I141" i="4"/>
  <c r="F141" i="4"/>
  <c r="E141" i="4"/>
  <c r="D141" i="4"/>
  <c r="C141" i="4"/>
  <c r="B141" i="4"/>
  <c r="A141" i="4"/>
  <c r="T140" i="4"/>
  <c r="S140" i="4"/>
  <c r="R140" i="4"/>
  <c r="Q140" i="4"/>
  <c r="P140" i="4"/>
  <c r="O140" i="4"/>
  <c r="M140" i="4"/>
  <c r="K140" i="4"/>
  <c r="I140" i="4"/>
  <c r="F140" i="4"/>
  <c r="E140" i="4"/>
  <c r="D140" i="4"/>
  <c r="C140" i="4"/>
  <c r="B140" i="4"/>
  <c r="A140" i="4"/>
  <c r="T139" i="4"/>
  <c r="S139" i="4"/>
  <c r="R139" i="4"/>
  <c r="Q139" i="4"/>
  <c r="P139" i="4"/>
  <c r="M139" i="4"/>
  <c r="I139" i="4"/>
  <c r="F139" i="4"/>
  <c r="E139" i="4"/>
  <c r="D139" i="4"/>
  <c r="C139" i="4"/>
  <c r="B139" i="4"/>
  <c r="A139" i="4"/>
  <c r="T138" i="4"/>
  <c r="S138" i="4"/>
  <c r="R138" i="4"/>
  <c r="Q138" i="4"/>
  <c r="P138" i="4"/>
  <c r="M138" i="4"/>
  <c r="K138" i="4"/>
  <c r="I138" i="4"/>
  <c r="F138" i="4"/>
  <c r="E138" i="4"/>
  <c r="D138" i="4"/>
  <c r="C138" i="4"/>
  <c r="B138" i="4"/>
  <c r="A138" i="4"/>
  <c r="T137" i="4"/>
  <c r="S137" i="4"/>
  <c r="R137" i="4"/>
  <c r="Q137" i="4"/>
  <c r="P137" i="4"/>
  <c r="M137" i="4"/>
  <c r="K137" i="4"/>
  <c r="I137" i="4"/>
  <c r="F137" i="4"/>
  <c r="E137" i="4"/>
  <c r="D137" i="4"/>
  <c r="C137" i="4"/>
  <c r="B137" i="4"/>
  <c r="A137" i="4"/>
  <c r="T136" i="4"/>
  <c r="S136" i="4"/>
  <c r="R136" i="4"/>
  <c r="Q136" i="4"/>
  <c r="P136" i="4"/>
  <c r="O136" i="4"/>
  <c r="N136" i="4"/>
  <c r="M136" i="4"/>
  <c r="K136" i="4"/>
  <c r="J136" i="4"/>
  <c r="I136" i="4"/>
  <c r="F136" i="4"/>
  <c r="E136" i="4"/>
  <c r="D136" i="4"/>
  <c r="C136" i="4"/>
  <c r="B136" i="4"/>
  <c r="A136" i="4"/>
  <c r="T135" i="4"/>
  <c r="S135" i="4"/>
  <c r="R135" i="4"/>
  <c r="Q135" i="4"/>
  <c r="P135" i="4"/>
  <c r="O135" i="4"/>
  <c r="N135" i="4"/>
  <c r="M135" i="4"/>
  <c r="K135" i="4"/>
  <c r="J135" i="4"/>
  <c r="I135" i="4"/>
  <c r="F135" i="4"/>
  <c r="E135" i="4"/>
  <c r="D135" i="4"/>
  <c r="C135" i="4"/>
  <c r="B135" i="4"/>
  <c r="A135" i="4"/>
  <c r="T134" i="4"/>
  <c r="S134" i="4"/>
  <c r="R134" i="4"/>
  <c r="Q134" i="4"/>
  <c r="P134" i="4"/>
  <c r="M134" i="4"/>
  <c r="K134" i="4"/>
  <c r="I134" i="4"/>
  <c r="F134" i="4"/>
  <c r="E134" i="4"/>
  <c r="D134" i="4"/>
  <c r="C134" i="4"/>
  <c r="B134" i="4"/>
  <c r="A134" i="4"/>
  <c r="T133" i="4"/>
  <c r="S133" i="4"/>
  <c r="R133" i="4"/>
  <c r="Q133" i="4"/>
  <c r="P133" i="4"/>
  <c r="M133" i="4"/>
  <c r="K133" i="4"/>
  <c r="I133" i="4"/>
  <c r="F133" i="4"/>
  <c r="E133" i="4"/>
  <c r="D133" i="4"/>
  <c r="C133" i="4"/>
  <c r="B133" i="4"/>
  <c r="A133" i="4"/>
  <c r="T132" i="4"/>
  <c r="S132" i="4"/>
  <c r="R132" i="4"/>
  <c r="Q132" i="4"/>
  <c r="P132" i="4"/>
  <c r="O132" i="4"/>
  <c r="M132" i="4"/>
  <c r="K132" i="4"/>
  <c r="I132" i="4"/>
  <c r="F132" i="4"/>
  <c r="E132" i="4"/>
  <c r="D132" i="4"/>
  <c r="C132" i="4"/>
  <c r="B132" i="4"/>
  <c r="A132" i="4"/>
  <c r="T131" i="4"/>
  <c r="S131" i="4"/>
  <c r="R131" i="4"/>
  <c r="Q131" i="4"/>
  <c r="P131" i="4"/>
  <c r="O131" i="4"/>
  <c r="M131" i="4"/>
  <c r="K131" i="4"/>
  <c r="I131" i="4"/>
  <c r="F131" i="4"/>
  <c r="E131" i="4"/>
  <c r="D131" i="4"/>
  <c r="C131" i="4"/>
  <c r="B131" i="4"/>
  <c r="A131" i="4"/>
  <c r="T130" i="4"/>
  <c r="S130" i="4"/>
  <c r="R130" i="4"/>
  <c r="Q130" i="4"/>
  <c r="P130" i="4"/>
  <c r="O130" i="4"/>
  <c r="M130" i="4"/>
  <c r="I130" i="4"/>
  <c r="F130" i="4"/>
  <c r="E130" i="4"/>
  <c r="D130" i="4"/>
  <c r="C130" i="4"/>
  <c r="B130" i="4"/>
  <c r="A130" i="4"/>
  <c r="T129" i="4"/>
  <c r="S129" i="4"/>
  <c r="R129" i="4"/>
  <c r="Q129" i="4"/>
  <c r="P129" i="4"/>
  <c r="O129" i="4"/>
  <c r="M129" i="4"/>
  <c r="K129" i="4"/>
  <c r="I129" i="4"/>
  <c r="F129" i="4"/>
  <c r="E129" i="4"/>
  <c r="D129" i="4"/>
  <c r="C129" i="4"/>
  <c r="B129" i="4"/>
  <c r="A129" i="4"/>
  <c r="T128" i="4"/>
  <c r="S128" i="4"/>
  <c r="R128" i="4"/>
  <c r="Q128" i="4"/>
  <c r="P128" i="4"/>
  <c r="M128" i="4"/>
  <c r="K128" i="4"/>
  <c r="I128" i="4"/>
  <c r="F128" i="4"/>
  <c r="E128" i="4"/>
  <c r="D128" i="4"/>
  <c r="C128" i="4"/>
  <c r="B128" i="4"/>
  <c r="A128" i="4"/>
  <c r="T127" i="4"/>
  <c r="S127" i="4"/>
  <c r="R127" i="4"/>
  <c r="Q127" i="4"/>
  <c r="P127" i="4"/>
  <c r="M127" i="4"/>
  <c r="K127" i="4"/>
  <c r="I127" i="4"/>
  <c r="F127" i="4"/>
  <c r="E127" i="4"/>
  <c r="D127" i="4"/>
  <c r="C127" i="4"/>
  <c r="B127" i="4"/>
  <c r="A127" i="4"/>
  <c r="T126" i="4"/>
  <c r="S126" i="4"/>
  <c r="R126" i="4"/>
  <c r="Q126" i="4"/>
  <c r="P126" i="4"/>
  <c r="M126" i="4"/>
  <c r="K126" i="4"/>
  <c r="I126" i="4"/>
  <c r="F126" i="4"/>
  <c r="E126" i="4"/>
  <c r="D126" i="4"/>
  <c r="C126" i="4"/>
  <c r="B126" i="4"/>
  <c r="A126" i="4"/>
  <c r="T125" i="4"/>
  <c r="S125" i="4"/>
  <c r="R125" i="4"/>
  <c r="Q125" i="4"/>
  <c r="P125" i="4"/>
  <c r="M125" i="4"/>
  <c r="K125" i="4"/>
  <c r="G125" i="4"/>
  <c r="F125" i="4"/>
  <c r="E125" i="4"/>
  <c r="D125" i="4"/>
  <c r="C125" i="4"/>
  <c r="B125" i="4"/>
  <c r="A125" i="4"/>
  <c r="T124" i="4"/>
  <c r="S124" i="4"/>
  <c r="R124" i="4"/>
  <c r="Q124" i="4"/>
  <c r="P124" i="4"/>
  <c r="O124" i="4"/>
  <c r="M124" i="4"/>
  <c r="I124" i="4"/>
  <c r="F124" i="4"/>
  <c r="E124" i="4"/>
  <c r="D124" i="4"/>
  <c r="C124" i="4"/>
  <c r="B124" i="4"/>
  <c r="A124" i="4"/>
  <c r="T123" i="4"/>
  <c r="S123" i="4"/>
  <c r="R123" i="4"/>
  <c r="Q123" i="4"/>
  <c r="P123" i="4"/>
  <c r="O123" i="4"/>
  <c r="M123" i="4"/>
  <c r="K123" i="4"/>
  <c r="I123" i="4"/>
  <c r="F123" i="4"/>
  <c r="E123" i="4"/>
  <c r="D123" i="4"/>
  <c r="C123" i="4"/>
  <c r="B123" i="4"/>
  <c r="A123" i="4"/>
  <c r="T122" i="4"/>
  <c r="S122" i="4"/>
  <c r="R122" i="4"/>
  <c r="Q122" i="4"/>
  <c r="P122" i="4"/>
  <c r="O122" i="4"/>
  <c r="M122" i="4"/>
  <c r="I122" i="4"/>
  <c r="F122" i="4"/>
  <c r="E122" i="4"/>
  <c r="D122" i="4"/>
  <c r="C122" i="4"/>
  <c r="B122" i="4"/>
  <c r="A122" i="4"/>
  <c r="T121" i="4"/>
  <c r="S121" i="4"/>
  <c r="R121" i="4"/>
  <c r="Q121" i="4"/>
  <c r="P121" i="4"/>
  <c r="O121" i="4"/>
  <c r="M121" i="4"/>
  <c r="I121" i="4"/>
  <c r="F121" i="4"/>
  <c r="E121" i="4"/>
  <c r="D121" i="4"/>
  <c r="C121" i="4"/>
  <c r="B121" i="4"/>
  <c r="A121" i="4"/>
  <c r="T120" i="4"/>
  <c r="S120" i="4"/>
  <c r="R120" i="4"/>
  <c r="Q120" i="4"/>
  <c r="P120" i="4"/>
  <c r="M120" i="4"/>
  <c r="K120" i="4"/>
  <c r="F120" i="4"/>
  <c r="E120" i="4"/>
  <c r="D120" i="4"/>
  <c r="C120" i="4"/>
  <c r="B120" i="4"/>
  <c r="A120" i="4"/>
  <c r="T119" i="4"/>
  <c r="S119" i="4"/>
  <c r="R119" i="4"/>
  <c r="Q119" i="4"/>
  <c r="P119" i="4"/>
  <c r="M119" i="4"/>
  <c r="I119" i="4"/>
  <c r="F119" i="4"/>
  <c r="E119" i="4"/>
  <c r="D119" i="4"/>
  <c r="C119" i="4"/>
  <c r="B119" i="4"/>
  <c r="A119" i="4"/>
  <c r="T118" i="4"/>
  <c r="S118" i="4"/>
  <c r="R118" i="4"/>
  <c r="Q118" i="4"/>
  <c r="P118" i="4"/>
  <c r="O118" i="4"/>
  <c r="M118" i="4"/>
  <c r="I118" i="4"/>
  <c r="F118" i="4"/>
  <c r="E118" i="4"/>
  <c r="D118" i="4"/>
  <c r="C118" i="4"/>
  <c r="B118" i="4"/>
  <c r="A118" i="4"/>
  <c r="T117" i="4"/>
  <c r="S117" i="4"/>
  <c r="R117" i="4"/>
  <c r="Q117" i="4"/>
  <c r="P117" i="4"/>
  <c r="O117" i="4"/>
  <c r="M117" i="4"/>
  <c r="K117" i="4"/>
  <c r="I117" i="4"/>
  <c r="F117" i="4"/>
  <c r="E117" i="4"/>
  <c r="D117" i="4"/>
  <c r="C117" i="4"/>
  <c r="B117" i="4"/>
  <c r="A117" i="4"/>
  <c r="T116" i="4"/>
  <c r="S116" i="4"/>
  <c r="R116" i="4"/>
  <c r="Q116" i="4"/>
  <c r="P116" i="4"/>
  <c r="O116" i="4"/>
  <c r="M116" i="4"/>
  <c r="K116" i="4"/>
  <c r="I116" i="4"/>
  <c r="F116" i="4"/>
  <c r="E116" i="4"/>
  <c r="D116" i="4"/>
  <c r="C116" i="4"/>
  <c r="B116" i="4"/>
  <c r="A116" i="4"/>
  <c r="T115" i="4"/>
  <c r="S115" i="4"/>
  <c r="R115" i="4"/>
  <c r="Q115" i="4"/>
  <c r="P115" i="4"/>
  <c r="M115" i="4"/>
  <c r="K115" i="4"/>
  <c r="I115" i="4"/>
  <c r="F115" i="4"/>
  <c r="E115" i="4"/>
  <c r="D115" i="4"/>
  <c r="C115" i="4"/>
  <c r="B115" i="4"/>
  <c r="A115" i="4"/>
  <c r="T114" i="4"/>
  <c r="S114" i="4"/>
  <c r="R114" i="4"/>
  <c r="Q114" i="4"/>
  <c r="P114" i="4"/>
  <c r="M114" i="4"/>
  <c r="K114" i="4"/>
  <c r="F114" i="4"/>
  <c r="E114" i="4"/>
  <c r="D114" i="4"/>
  <c r="C114" i="4"/>
  <c r="B114" i="4"/>
  <c r="A114" i="4"/>
  <c r="T113" i="4"/>
  <c r="S113" i="4"/>
  <c r="R113" i="4"/>
  <c r="Q113" i="4"/>
  <c r="P113" i="4"/>
  <c r="M113" i="4"/>
  <c r="K113" i="4"/>
  <c r="I113" i="4"/>
  <c r="F113" i="4"/>
  <c r="E113" i="4"/>
  <c r="D113" i="4"/>
  <c r="C113" i="4"/>
  <c r="B113" i="4"/>
  <c r="A113" i="4"/>
  <c r="T112" i="4"/>
  <c r="S112" i="4"/>
  <c r="R112" i="4"/>
  <c r="Q112" i="4"/>
  <c r="P112" i="4"/>
  <c r="M112" i="4"/>
  <c r="K112" i="4"/>
  <c r="I112" i="4"/>
  <c r="G112" i="4"/>
  <c r="F112" i="4"/>
  <c r="E112" i="4"/>
  <c r="D112" i="4"/>
  <c r="C112" i="4"/>
  <c r="B112" i="4"/>
  <c r="A112" i="4"/>
  <c r="T111" i="4"/>
  <c r="S111" i="4"/>
  <c r="R111" i="4"/>
  <c r="Q111" i="4"/>
  <c r="P111" i="4"/>
  <c r="M111" i="4"/>
  <c r="K111" i="4"/>
  <c r="I111" i="4"/>
  <c r="F111" i="4"/>
  <c r="E111" i="4"/>
  <c r="D111" i="4"/>
  <c r="C111" i="4"/>
  <c r="B111" i="4"/>
  <c r="A111" i="4"/>
  <c r="T110" i="4"/>
  <c r="S110" i="4"/>
  <c r="R110" i="4"/>
  <c r="Q110" i="4"/>
  <c r="P110" i="4"/>
  <c r="M110" i="4"/>
  <c r="K110" i="4"/>
  <c r="I110" i="4"/>
  <c r="F110" i="4"/>
  <c r="E110" i="4"/>
  <c r="D110" i="4"/>
  <c r="C110" i="4"/>
  <c r="B110" i="4"/>
  <c r="A110" i="4"/>
  <c r="T109" i="4"/>
  <c r="S109" i="4"/>
  <c r="R109" i="4"/>
  <c r="Q109" i="4"/>
  <c r="P109" i="4"/>
  <c r="O109" i="4"/>
  <c r="M109" i="4"/>
  <c r="K109" i="4"/>
  <c r="I109" i="4"/>
  <c r="H109" i="4"/>
  <c r="F109" i="4"/>
  <c r="E109" i="4"/>
  <c r="D109" i="4"/>
  <c r="C109" i="4"/>
  <c r="B109" i="4"/>
  <c r="A109" i="4"/>
  <c r="T108" i="4"/>
  <c r="S108" i="4"/>
  <c r="R108" i="4"/>
  <c r="Q108" i="4"/>
  <c r="P108" i="4"/>
  <c r="O108" i="4"/>
  <c r="M108" i="4"/>
  <c r="I108" i="4"/>
  <c r="F108" i="4"/>
  <c r="E108" i="4"/>
  <c r="D108" i="4"/>
  <c r="C108" i="4"/>
  <c r="B108" i="4"/>
  <c r="A108" i="4"/>
  <c r="T107" i="4"/>
  <c r="S107" i="4"/>
  <c r="R107" i="4"/>
  <c r="Q107" i="4"/>
  <c r="P107" i="4"/>
  <c r="O107" i="4"/>
  <c r="M107" i="4"/>
  <c r="K107" i="4"/>
  <c r="I107" i="4"/>
  <c r="F107" i="4"/>
  <c r="E107" i="4"/>
  <c r="D107" i="4"/>
  <c r="C107" i="4"/>
  <c r="B107" i="4"/>
  <c r="A107" i="4"/>
  <c r="T106" i="4"/>
  <c r="S106" i="4"/>
  <c r="R106" i="4"/>
  <c r="Q106" i="4"/>
  <c r="P106" i="4"/>
  <c r="O106" i="4"/>
  <c r="M106" i="4"/>
  <c r="K106" i="4"/>
  <c r="I106" i="4"/>
  <c r="F106" i="4"/>
  <c r="E106" i="4"/>
  <c r="D106" i="4"/>
  <c r="C106" i="4"/>
  <c r="B106" i="4"/>
  <c r="A106" i="4"/>
  <c r="T105" i="4"/>
  <c r="S105" i="4"/>
  <c r="R105" i="4"/>
  <c r="Q105" i="4"/>
  <c r="P105" i="4"/>
  <c r="M105" i="4"/>
  <c r="I105" i="4"/>
  <c r="F105" i="4"/>
  <c r="E105" i="4"/>
  <c r="D105" i="4"/>
  <c r="C105" i="4"/>
  <c r="B105" i="4"/>
  <c r="A105" i="4"/>
  <c r="T104" i="4"/>
  <c r="S104" i="4"/>
  <c r="R104" i="4"/>
  <c r="Q104" i="4"/>
  <c r="P104" i="4"/>
  <c r="O104" i="4"/>
  <c r="M104" i="4"/>
  <c r="J104" i="4"/>
  <c r="I104" i="4"/>
  <c r="F104" i="4"/>
  <c r="E104" i="4"/>
  <c r="D104" i="4"/>
  <c r="C104" i="4"/>
  <c r="B104" i="4"/>
  <c r="A104" i="4"/>
  <c r="T103" i="4"/>
  <c r="S103" i="4"/>
  <c r="R103" i="4"/>
  <c r="Q103" i="4"/>
  <c r="P103" i="4"/>
  <c r="O103" i="4"/>
  <c r="N103" i="4"/>
  <c r="M103" i="4"/>
  <c r="K103" i="4"/>
  <c r="J103" i="4"/>
  <c r="I103" i="4"/>
  <c r="F103" i="4"/>
  <c r="E103" i="4"/>
  <c r="D103" i="4"/>
  <c r="C103" i="4"/>
  <c r="B103" i="4"/>
  <c r="A103" i="4"/>
  <c r="T102" i="4"/>
  <c r="S102" i="4"/>
  <c r="R102" i="4"/>
  <c r="Q102" i="4"/>
  <c r="P102" i="4"/>
  <c r="M102" i="4"/>
  <c r="I102" i="4"/>
  <c r="F102" i="4"/>
  <c r="E102" i="4"/>
  <c r="D102" i="4"/>
  <c r="C102" i="4"/>
  <c r="B102" i="4"/>
  <c r="A102" i="4"/>
  <c r="T101" i="4"/>
  <c r="S101" i="4"/>
  <c r="R101" i="4"/>
  <c r="Q101" i="4"/>
  <c r="P101" i="4"/>
  <c r="M101" i="4"/>
  <c r="I101" i="4"/>
  <c r="F101" i="4"/>
  <c r="E101" i="4"/>
  <c r="D101" i="4"/>
  <c r="C101" i="4"/>
  <c r="B101" i="4"/>
  <c r="A101" i="4"/>
  <c r="T100" i="4"/>
  <c r="S100" i="4"/>
  <c r="R100" i="4"/>
  <c r="Q100" i="4"/>
  <c r="P100" i="4"/>
  <c r="O100" i="4"/>
  <c r="M100" i="4"/>
  <c r="I100" i="4"/>
  <c r="F100" i="4"/>
  <c r="E100" i="4"/>
  <c r="D100" i="4"/>
  <c r="C100" i="4"/>
  <c r="B100" i="4"/>
  <c r="A100" i="4"/>
  <c r="T99" i="4"/>
  <c r="S99" i="4"/>
  <c r="R99" i="4"/>
  <c r="Q99" i="4"/>
  <c r="P99" i="4"/>
  <c r="O99" i="4"/>
  <c r="N99" i="4"/>
  <c r="M99" i="4"/>
  <c r="K99" i="4"/>
  <c r="J99" i="4"/>
  <c r="I99" i="4"/>
  <c r="F99" i="4"/>
  <c r="E99" i="4"/>
  <c r="D99" i="4"/>
  <c r="C99" i="4"/>
  <c r="B99" i="4"/>
  <c r="A99" i="4"/>
  <c r="T98" i="4"/>
  <c r="S98" i="4"/>
  <c r="R98" i="4"/>
  <c r="Q98" i="4"/>
  <c r="P98" i="4"/>
  <c r="O98" i="4"/>
  <c r="M98" i="4"/>
  <c r="K98" i="4"/>
  <c r="I98" i="4"/>
  <c r="F98" i="4"/>
  <c r="E98" i="4"/>
  <c r="D98" i="4"/>
  <c r="C98" i="4"/>
  <c r="B98" i="4"/>
  <c r="A98" i="4"/>
  <c r="T97" i="4"/>
  <c r="S97" i="4"/>
  <c r="R97" i="4"/>
  <c r="Q97" i="4"/>
  <c r="P97" i="4"/>
  <c r="M97" i="4"/>
  <c r="K97" i="4"/>
  <c r="I97" i="4"/>
  <c r="F97" i="4"/>
  <c r="E97" i="4"/>
  <c r="D97" i="4"/>
  <c r="C97" i="4"/>
  <c r="B97" i="4"/>
  <c r="A97" i="4"/>
  <c r="T96" i="4"/>
  <c r="S96" i="4"/>
  <c r="R96" i="4"/>
  <c r="Q96" i="4"/>
  <c r="P96" i="4"/>
  <c r="O96" i="4"/>
  <c r="M96" i="4"/>
  <c r="K96" i="4"/>
  <c r="I96" i="4"/>
  <c r="F96" i="4"/>
  <c r="E96" i="4"/>
  <c r="D96" i="4"/>
  <c r="C96" i="4"/>
  <c r="B96" i="4"/>
  <c r="A96" i="4"/>
  <c r="T95" i="4"/>
  <c r="S95" i="4"/>
  <c r="R95" i="4"/>
  <c r="Q95" i="4"/>
  <c r="P95" i="4"/>
  <c r="M95" i="4"/>
  <c r="K95" i="4"/>
  <c r="I95" i="4"/>
  <c r="F95" i="4"/>
  <c r="E95" i="4"/>
  <c r="D95" i="4"/>
  <c r="C95" i="4"/>
  <c r="B95" i="4"/>
  <c r="A95" i="4"/>
  <c r="T94" i="4"/>
  <c r="S94" i="4"/>
  <c r="R94" i="4"/>
  <c r="Q94" i="4"/>
  <c r="P94" i="4"/>
  <c r="O94" i="4"/>
  <c r="M94" i="4"/>
  <c r="K94" i="4"/>
  <c r="I94" i="4"/>
  <c r="F94" i="4"/>
  <c r="E94" i="4"/>
  <c r="D94" i="4"/>
  <c r="C94" i="4"/>
  <c r="B94" i="4"/>
  <c r="A94" i="4"/>
  <c r="T93" i="4"/>
  <c r="S93" i="4"/>
  <c r="R93" i="4"/>
  <c r="Q93" i="4"/>
  <c r="P93" i="4"/>
  <c r="O93" i="4"/>
  <c r="M93" i="4"/>
  <c r="K93" i="4"/>
  <c r="I93" i="4"/>
  <c r="F93" i="4"/>
  <c r="E93" i="4"/>
  <c r="D93" i="4"/>
  <c r="C93" i="4"/>
  <c r="B93" i="4"/>
  <c r="A93" i="4"/>
  <c r="T92" i="4"/>
  <c r="S92" i="4"/>
  <c r="R92" i="4"/>
  <c r="Q92" i="4"/>
  <c r="P92" i="4"/>
  <c r="M92" i="4"/>
  <c r="I92" i="4"/>
  <c r="F92" i="4"/>
  <c r="E92" i="4"/>
  <c r="D92" i="4"/>
  <c r="C92" i="4"/>
  <c r="B92" i="4"/>
  <c r="A92" i="4"/>
  <c r="T91" i="4"/>
  <c r="S91" i="4"/>
  <c r="R91" i="4"/>
  <c r="Q91" i="4"/>
  <c r="P91" i="4"/>
  <c r="O91" i="4"/>
  <c r="M91" i="4"/>
  <c r="I91" i="4"/>
  <c r="F91" i="4"/>
  <c r="E91" i="4"/>
  <c r="D91" i="4"/>
  <c r="C91" i="4"/>
  <c r="B91" i="4"/>
  <c r="A91" i="4"/>
  <c r="T90" i="4"/>
  <c r="S90" i="4"/>
  <c r="R90" i="4"/>
  <c r="Q90" i="4"/>
  <c r="P90" i="4"/>
  <c r="O90" i="4"/>
  <c r="M90" i="4"/>
  <c r="I90" i="4"/>
  <c r="F90" i="4"/>
  <c r="E90" i="4"/>
  <c r="D90" i="4"/>
  <c r="C90" i="4"/>
  <c r="B90" i="4"/>
  <c r="A90" i="4"/>
  <c r="T89" i="4"/>
  <c r="S89" i="4"/>
  <c r="R89" i="4"/>
  <c r="Q89" i="4"/>
  <c r="P89" i="4"/>
  <c r="M89" i="4"/>
  <c r="J89" i="4"/>
  <c r="I89" i="4"/>
  <c r="F89" i="4"/>
  <c r="E89" i="4"/>
  <c r="D89" i="4"/>
  <c r="C89" i="4"/>
  <c r="B89" i="4"/>
  <c r="A89" i="4"/>
  <c r="T88" i="4"/>
  <c r="S88" i="4"/>
  <c r="R88" i="4"/>
  <c r="Q88" i="4"/>
  <c r="P88" i="4"/>
  <c r="M88" i="4"/>
  <c r="J88" i="4"/>
  <c r="I88" i="4"/>
  <c r="F88" i="4"/>
  <c r="E88" i="4"/>
  <c r="D88" i="4"/>
  <c r="C88" i="4"/>
  <c r="B88" i="4"/>
  <c r="A88" i="4"/>
  <c r="T87" i="4"/>
  <c r="S87" i="4"/>
  <c r="R87" i="4"/>
  <c r="Q87" i="4"/>
  <c r="P87" i="4"/>
  <c r="O87" i="4"/>
  <c r="N87" i="4"/>
  <c r="M87" i="4"/>
  <c r="K87" i="4"/>
  <c r="J87" i="4"/>
  <c r="I87" i="4"/>
  <c r="F87" i="4"/>
  <c r="E87" i="4"/>
  <c r="D87" i="4"/>
  <c r="C87" i="4"/>
  <c r="B87" i="4"/>
  <c r="A87" i="4"/>
  <c r="T86" i="4"/>
  <c r="S86" i="4"/>
  <c r="R86" i="4"/>
  <c r="Q86" i="4"/>
  <c r="P86" i="4"/>
  <c r="O86" i="4"/>
  <c r="N86" i="4"/>
  <c r="M86" i="4"/>
  <c r="K86" i="4"/>
  <c r="J86" i="4"/>
  <c r="I86" i="4"/>
  <c r="F86" i="4"/>
  <c r="E86" i="4"/>
  <c r="D86" i="4"/>
  <c r="C86" i="4"/>
  <c r="B86" i="4"/>
  <c r="A86" i="4"/>
  <c r="T85" i="4"/>
  <c r="S85" i="4"/>
  <c r="R85" i="4"/>
  <c r="Q85" i="4"/>
  <c r="P85" i="4"/>
  <c r="O85" i="4"/>
  <c r="N85" i="4"/>
  <c r="M85" i="4"/>
  <c r="K85" i="4"/>
  <c r="J85" i="4"/>
  <c r="I85" i="4"/>
  <c r="F85" i="4"/>
  <c r="E85" i="4"/>
  <c r="D85" i="4"/>
  <c r="C85" i="4"/>
  <c r="B85" i="4"/>
  <c r="A85" i="4"/>
  <c r="T84" i="4"/>
  <c r="S84" i="4"/>
  <c r="R84" i="4"/>
  <c r="Q84" i="4"/>
  <c r="P84" i="4"/>
  <c r="O84" i="4"/>
  <c r="N84" i="4"/>
  <c r="M84" i="4"/>
  <c r="K84" i="4"/>
  <c r="J84" i="4"/>
  <c r="I84" i="4"/>
  <c r="F84" i="4"/>
  <c r="E84" i="4"/>
  <c r="D84" i="4"/>
  <c r="C84" i="4"/>
  <c r="B84" i="4"/>
  <c r="A84" i="4"/>
  <c r="T83" i="4"/>
  <c r="S83" i="4"/>
  <c r="R83" i="4"/>
  <c r="Q83" i="4"/>
  <c r="P83" i="4"/>
  <c r="O83" i="4"/>
  <c r="N83" i="4"/>
  <c r="M83" i="4"/>
  <c r="K83" i="4"/>
  <c r="J83" i="4"/>
  <c r="I83" i="4"/>
  <c r="F83" i="4"/>
  <c r="E83" i="4"/>
  <c r="D83" i="4"/>
  <c r="C83" i="4"/>
  <c r="B83" i="4"/>
  <c r="A83" i="4"/>
  <c r="T82" i="4"/>
  <c r="S82" i="4"/>
  <c r="R82" i="4"/>
  <c r="Q82" i="4"/>
  <c r="P82" i="4"/>
  <c r="O82" i="4"/>
  <c r="N82" i="4"/>
  <c r="M82" i="4"/>
  <c r="K82" i="4"/>
  <c r="J82" i="4"/>
  <c r="I82" i="4"/>
  <c r="F82" i="4"/>
  <c r="E82" i="4"/>
  <c r="D82" i="4"/>
  <c r="C82" i="4"/>
  <c r="B82" i="4"/>
  <c r="A82" i="4"/>
  <c r="T81" i="4"/>
  <c r="S81" i="4"/>
  <c r="R81" i="4"/>
  <c r="Q81" i="4"/>
  <c r="P81" i="4"/>
  <c r="M81" i="4"/>
  <c r="K81" i="4"/>
  <c r="G81" i="4"/>
  <c r="F81" i="4"/>
  <c r="E81" i="4"/>
  <c r="D81" i="4"/>
  <c r="C81" i="4"/>
  <c r="B81" i="4"/>
  <c r="A81" i="4"/>
  <c r="T80" i="4"/>
  <c r="S80" i="4"/>
  <c r="R80" i="4"/>
  <c r="Q80" i="4"/>
  <c r="P80" i="4"/>
  <c r="M80" i="4"/>
  <c r="I80" i="4"/>
  <c r="G80" i="4"/>
  <c r="F80" i="4"/>
  <c r="E80" i="4"/>
  <c r="D80" i="4"/>
  <c r="C80" i="4"/>
  <c r="B80" i="4"/>
  <c r="A80" i="4"/>
  <c r="T79" i="4"/>
  <c r="S79" i="4"/>
  <c r="R79" i="4"/>
  <c r="Q79" i="4"/>
  <c r="P79" i="4"/>
  <c r="M79" i="4"/>
  <c r="K79" i="4"/>
  <c r="I79" i="4"/>
  <c r="F79" i="4"/>
  <c r="E79" i="4"/>
  <c r="D79" i="4"/>
  <c r="C79" i="4"/>
  <c r="B79" i="4"/>
  <c r="A79" i="4"/>
  <c r="T78" i="4"/>
  <c r="S78" i="4"/>
  <c r="R78" i="4"/>
  <c r="Q78" i="4"/>
  <c r="P78" i="4"/>
  <c r="M78" i="4"/>
  <c r="K78" i="4"/>
  <c r="I78" i="4"/>
  <c r="F78" i="4"/>
  <c r="E78" i="4"/>
  <c r="D78" i="4"/>
  <c r="C78" i="4"/>
  <c r="B78" i="4"/>
  <c r="A78" i="4"/>
  <c r="T77" i="4"/>
  <c r="S77" i="4"/>
  <c r="R77" i="4"/>
  <c r="Q77" i="4"/>
  <c r="P77" i="4"/>
  <c r="M77" i="4"/>
  <c r="K77" i="4"/>
  <c r="I77" i="4"/>
  <c r="F77" i="4"/>
  <c r="E77" i="4"/>
  <c r="D77" i="4"/>
  <c r="C77" i="4"/>
  <c r="B77" i="4"/>
  <c r="A77" i="4"/>
  <c r="T76" i="4"/>
  <c r="S76" i="4"/>
  <c r="R76" i="4"/>
  <c r="Q76" i="4"/>
  <c r="P76" i="4"/>
  <c r="M76" i="4"/>
  <c r="K76" i="4"/>
  <c r="I76" i="4"/>
  <c r="F76" i="4"/>
  <c r="E76" i="4"/>
  <c r="D76" i="4"/>
  <c r="C76" i="4"/>
  <c r="B76" i="4"/>
  <c r="A76" i="4"/>
  <c r="T75" i="4"/>
  <c r="S75" i="4"/>
  <c r="R75" i="4"/>
  <c r="Q75" i="4"/>
  <c r="P75" i="4"/>
  <c r="O75" i="4"/>
  <c r="M75" i="4"/>
  <c r="K75" i="4"/>
  <c r="I75" i="4"/>
  <c r="F75" i="4"/>
  <c r="E75" i="4"/>
  <c r="D75" i="4"/>
  <c r="C75" i="4"/>
  <c r="B75" i="4"/>
  <c r="A75" i="4"/>
  <c r="T74" i="4"/>
  <c r="S74" i="4"/>
  <c r="R74" i="4"/>
  <c r="Q74" i="4"/>
  <c r="P74" i="4"/>
  <c r="O74" i="4"/>
  <c r="M74" i="4"/>
  <c r="K74" i="4"/>
  <c r="I74" i="4"/>
  <c r="F74" i="4"/>
  <c r="E74" i="4"/>
  <c r="D74" i="4"/>
  <c r="C74" i="4"/>
  <c r="B74" i="4"/>
  <c r="A74" i="4"/>
  <c r="T73" i="4"/>
  <c r="S73" i="4"/>
  <c r="R73" i="4"/>
  <c r="Q73" i="4"/>
  <c r="P73" i="4"/>
  <c r="O73" i="4"/>
  <c r="M73" i="4"/>
  <c r="K73" i="4"/>
  <c r="I73" i="4"/>
  <c r="F73" i="4"/>
  <c r="E73" i="4"/>
  <c r="D73" i="4"/>
  <c r="C73" i="4"/>
  <c r="B73" i="4"/>
  <c r="A73" i="4"/>
  <c r="T72" i="4"/>
  <c r="S72" i="4"/>
  <c r="R72" i="4"/>
  <c r="Q72" i="4"/>
  <c r="P72" i="4"/>
  <c r="M72" i="4"/>
  <c r="K72" i="4"/>
  <c r="I72" i="4"/>
  <c r="F72" i="4"/>
  <c r="E72" i="4"/>
  <c r="D72" i="4"/>
  <c r="C72" i="4"/>
  <c r="B72" i="4"/>
  <c r="A72" i="4"/>
  <c r="T71" i="4"/>
  <c r="S71" i="4"/>
  <c r="R71" i="4"/>
  <c r="Q71" i="4"/>
  <c r="P71" i="4"/>
  <c r="O71" i="4"/>
  <c r="M71" i="4"/>
  <c r="K71" i="4"/>
  <c r="I71" i="4"/>
  <c r="F71" i="4"/>
  <c r="E71" i="4"/>
  <c r="D71" i="4"/>
  <c r="C71" i="4"/>
  <c r="B71" i="4"/>
  <c r="A71" i="4"/>
  <c r="T70" i="4"/>
  <c r="S70" i="4"/>
  <c r="R70" i="4"/>
  <c r="Q70" i="4"/>
  <c r="P70" i="4"/>
  <c r="O70" i="4"/>
  <c r="M70" i="4"/>
  <c r="K70" i="4"/>
  <c r="I70" i="4"/>
  <c r="H70" i="4"/>
  <c r="F70" i="4"/>
  <c r="E70" i="4"/>
  <c r="D70" i="4"/>
  <c r="C70" i="4"/>
  <c r="B70" i="4"/>
  <c r="A70" i="4"/>
  <c r="T69" i="4"/>
  <c r="S69" i="4"/>
  <c r="R69" i="4"/>
  <c r="Q69" i="4"/>
  <c r="P69" i="4"/>
  <c r="O69" i="4"/>
  <c r="M69" i="4"/>
  <c r="K69" i="4"/>
  <c r="I69" i="4"/>
  <c r="H69" i="4"/>
  <c r="F69" i="4"/>
  <c r="E69" i="4"/>
  <c r="D69" i="4"/>
  <c r="C69" i="4"/>
  <c r="B69" i="4"/>
  <c r="A69" i="4"/>
  <c r="T68" i="4"/>
  <c r="S68" i="4"/>
  <c r="R68" i="4"/>
  <c r="Q68" i="4"/>
  <c r="P68" i="4"/>
  <c r="O68" i="4"/>
  <c r="M68" i="4"/>
  <c r="K68" i="4"/>
  <c r="I68" i="4"/>
  <c r="H68" i="4"/>
  <c r="F68" i="4"/>
  <c r="E68" i="4"/>
  <c r="D68" i="4"/>
  <c r="C68" i="4"/>
  <c r="B68" i="4"/>
  <c r="A68" i="4"/>
  <c r="T67" i="4"/>
  <c r="S67" i="4"/>
  <c r="R67" i="4"/>
  <c r="Q67" i="4"/>
  <c r="P67" i="4"/>
  <c r="O67" i="4"/>
  <c r="M67" i="4"/>
  <c r="I67" i="4"/>
  <c r="F67" i="4"/>
  <c r="E67" i="4"/>
  <c r="D67" i="4"/>
  <c r="C67" i="4"/>
  <c r="B67" i="4"/>
  <c r="A67" i="4"/>
  <c r="T66" i="4"/>
  <c r="S66" i="4"/>
  <c r="R66" i="4"/>
  <c r="Q66" i="4"/>
  <c r="P66" i="4"/>
  <c r="O66" i="4"/>
  <c r="M66" i="4"/>
  <c r="I66" i="4"/>
  <c r="F66" i="4"/>
  <c r="E66" i="4"/>
  <c r="D66" i="4"/>
  <c r="C66" i="4"/>
  <c r="B66" i="4"/>
  <c r="A66" i="4"/>
  <c r="T65" i="4"/>
  <c r="S65" i="4"/>
  <c r="R65" i="4"/>
  <c r="Q65" i="4"/>
  <c r="P65" i="4"/>
  <c r="O65" i="4"/>
  <c r="M65" i="4"/>
  <c r="I65" i="4"/>
  <c r="F65" i="4"/>
  <c r="E65" i="4"/>
  <c r="D65" i="4"/>
  <c r="C65" i="4"/>
  <c r="B65" i="4"/>
  <c r="A65" i="4"/>
  <c r="T64" i="4"/>
  <c r="S64" i="4"/>
  <c r="R64" i="4"/>
  <c r="Q64" i="4"/>
  <c r="P64" i="4"/>
  <c r="O64" i="4"/>
  <c r="M64" i="4"/>
  <c r="I64" i="4"/>
  <c r="F64" i="4"/>
  <c r="E64" i="4"/>
  <c r="D64" i="4"/>
  <c r="C64" i="4"/>
  <c r="B64" i="4"/>
  <c r="A64" i="4"/>
  <c r="T63" i="4"/>
  <c r="S63" i="4"/>
  <c r="R63" i="4"/>
  <c r="Q63" i="4"/>
  <c r="P63" i="4"/>
  <c r="O63" i="4"/>
  <c r="M63" i="4"/>
  <c r="I63" i="4"/>
  <c r="F63" i="4"/>
  <c r="E63" i="4"/>
  <c r="D63" i="4"/>
  <c r="C63" i="4"/>
  <c r="B63" i="4"/>
  <c r="A63" i="4"/>
  <c r="T62" i="4"/>
  <c r="S62" i="4"/>
  <c r="R62" i="4"/>
  <c r="Q62" i="4"/>
  <c r="P62" i="4"/>
  <c r="O62" i="4"/>
  <c r="M62" i="4"/>
  <c r="I62" i="4"/>
  <c r="F62" i="4"/>
  <c r="E62" i="4"/>
  <c r="D62" i="4"/>
  <c r="C62" i="4"/>
  <c r="B62" i="4"/>
  <c r="A62" i="4"/>
  <c r="T61" i="4"/>
  <c r="S61" i="4"/>
  <c r="R61" i="4"/>
  <c r="Q61" i="4"/>
  <c r="P61" i="4"/>
  <c r="O61" i="4"/>
  <c r="M61" i="4"/>
  <c r="I61" i="4"/>
  <c r="F61" i="4"/>
  <c r="E61" i="4"/>
  <c r="D61" i="4"/>
  <c r="C61" i="4"/>
  <c r="B61" i="4"/>
  <c r="A61" i="4"/>
  <c r="T60" i="4"/>
  <c r="S60" i="4"/>
  <c r="R60" i="4"/>
  <c r="Q60" i="4"/>
  <c r="P60" i="4"/>
  <c r="O60" i="4"/>
  <c r="M60" i="4"/>
  <c r="I60" i="4"/>
  <c r="F60" i="4"/>
  <c r="E60" i="4"/>
  <c r="D60" i="4"/>
  <c r="C60" i="4"/>
  <c r="B60" i="4"/>
  <c r="A60" i="4"/>
  <c r="T59" i="4"/>
  <c r="S59" i="4"/>
  <c r="R59" i="4"/>
  <c r="Q59" i="4"/>
  <c r="P59" i="4"/>
  <c r="M59" i="4"/>
  <c r="K59" i="4"/>
  <c r="I59" i="4"/>
  <c r="F59" i="4"/>
  <c r="E59" i="4"/>
  <c r="D59" i="4"/>
  <c r="C59" i="4"/>
  <c r="B59" i="4"/>
  <c r="A59" i="4"/>
  <c r="T58" i="4"/>
  <c r="S58" i="4"/>
  <c r="R58" i="4"/>
  <c r="Q58" i="4"/>
  <c r="P58" i="4"/>
  <c r="M58" i="4"/>
  <c r="I58" i="4"/>
  <c r="F58" i="4"/>
  <c r="E58" i="4"/>
  <c r="D58" i="4"/>
  <c r="C58" i="4"/>
  <c r="B58" i="4"/>
  <c r="A58" i="4"/>
  <c r="T57" i="4"/>
  <c r="S57" i="4"/>
  <c r="R57" i="4"/>
  <c r="Q57" i="4"/>
  <c r="P57" i="4"/>
  <c r="O57" i="4"/>
  <c r="M57" i="4"/>
  <c r="I57" i="4"/>
  <c r="F57" i="4"/>
  <c r="E57" i="4"/>
  <c r="D57" i="4"/>
  <c r="C57" i="4"/>
  <c r="B57" i="4"/>
  <c r="A57" i="4"/>
  <c r="T56" i="4"/>
  <c r="S56" i="4"/>
  <c r="R56" i="4"/>
  <c r="Q56" i="4"/>
  <c r="P56" i="4"/>
  <c r="O56" i="4"/>
  <c r="M56" i="4"/>
  <c r="I56" i="4"/>
  <c r="F56" i="4"/>
  <c r="E56" i="4"/>
  <c r="D56" i="4"/>
  <c r="C56" i="4"/>
  <c r="B56" i="4"/>
  <c r="A56" i="4"/>
  <c r="T55" i="4"/>
  <c r="S55" i="4"/>
  <c r="R55" i="4"/>
  <c r="Q55" i="4"/>
  <c r="P55" i="4"/>
  <c r="O55" i="4"/>
  <c r="M55" i="4"/>
  <c r="K55" i="4"/>
  <c r="I55" i="4"/>
  <c r="F55" i="4"/>
  <c r="E55" i="4"/>
  <c r="D55" i="4"/>
  <c r="C55" i="4"/>
  <c r="B55" i="4"/>
  <c r="A55" i="4"/>
  <c r="T54" i="4"/>
  <c r="S54" i="4"/>
  <c r="R54" i="4"/>
  <c r="Q54" i="4"/>
  <c r="P54" i="4"/>
  <c r="O54" i="4"/>
  <c r="M54" i="4"/>
  <c r="K54" i="4"/>
  <c r="I54" i="4"/>
  <c r="F54" i="4"/>
  <c r="E54" i="4"/>
  <c r="D54" i="4"/>
  <c r="C54" i="4"/>
  <c r="B54" i="4"/>
  <c r="A54" i="4"/>
  <c r="T53" i="4"/>
  <c r="S53" i="4"/>
  <c r="R53" i="4"/>
  <c r="Q53" i="4"/>
  <c r="P53" i="4"/>
  <c r="O53" i="4"/>
  <c r="M53" i="4"/>
  <c r="K53" i="4"/>
  <c r="I53" i="4"/>
  <c r="F53" i="4"/>
  <c r="E53" i="4"/>
  <c r="D53" i="4"/>
  <c r="C53" i="4"/>
  <c r="B53" i="4"/>
  <c r="A53" i="4"/>
  <c r="T52" i="4"/>
  <c r="S52" i="4"/>
  <c r="R52" i="4"/>
  <c r="Q52" i="4"/>
  <c r="P52" i="4"/>
  <c r="O52" i="4"/>
  <c r="M52" i="4"/>
  <c r="K52" i="4"/>
  <c r="I52" i="4"/>
  <c r="F52" i="4"/>
  <c r="E52" i="4"/>
  <c r="D52" i="4"/>
  <c r="C52" i="4"/>
  <c r="B52" i="4"/>
  <c r="A52" i="4"/>
  <c r="T51" i="4"/>
  <c r="S51" i="4"/>
  <c r="R51" i="4"/>
  <c r="Q51" i="4"/>
  <c r="P51" i="4"/>
  <c r="O51" i="4"/>
  <c r="M51" i="4"/>
  <c r="K51" i="4"/>
  <c r="I51" i="4"/>
  <c r="F51" i="4"/>
  <c r="E51" i="4"/>
  <c r="D51" i="4"/>
  <c r="C51" i="4"/>
  <c r="B51" i="4"/>
  <c r="A51" i="4"/>
  <c r="T50" i="4"/>
  <c r="S50" i="4"/>
  <c r="R50" i="4"/>
  <c r="Q50" i="4"/>
  <c r="P50" i="4"/>
  <c r="O50" i="4"/>
  <c r="M50" i="4"/>
  <c r="K50" i="4"/>
  <c r="I50" i="4"/>
  <c r="F50" i="4"/>
  <c r="E50" i="4"/>
  <c r="D50" i="4"/>
  <c r="C50" i="4"/>
  <c r="B50" i="4"/>
  <c r="A50" i="4"/>
  <c r="T49" i="4"/>
  <c r="S49" i="4"/>
  <c r="R49" i="4"/>
  <c r="Q49" i="4"/>
  <c r="P49" i="4"/>
  <c r="O49" i="4"/>
  <c r="M49" i="4"/>
  <c r="K49" i="4"/>
  <c r="I49" i="4"/>
  <c r="F49" i="4"/>
  <c r="E49" i="4"/>
  <c r="D49" i="4"/>
  <c r="C49" i="4"/>
  <c r="B49" i="4"/>
  <c r="A49" i="4"/>
  <c r="T48" i="4"/>
  <c r="S48" i="4"/>
  <c r="R48" i="4"/>
  <c r="Q48" i="4"/>
  <c r="P48" i="4"/>
  <c r="O48" i="4"/>
  <c r="M48" i="4"/>
  <c r="K48" i="4"/>
  <c r="I48" i="4"/>
  <c r="F48" i="4"/>
  <c r="E48" i="4"/>
  <c r="D48" i="4"/>
  <c r="C48" i="4"/>
  <c r="B48" i="4"/>
  <c r="A48" i="4"/>
  <c r="T47" i="4"/>
  <c r="S47" i="4"/>
  <c r="R47" i="4"/>
  <c r="Q47" i="4"/>
  <c r="P47" i="4"/>
  <c r="M47" i="4"/>
  <c r="K47" i="4"/>
  <c r="I47" i="4"/>
  <c r="F47" i="4"/>
  <c r="E47" i="4"/>
  <c r="D47" i="4"/>
  <c r="C47" i="4"/>
  <c r="B47" i="4"/>
  <c r="A47" i="4"/>
  <c r="T46" i="4"/>
  <c r="S46" i="4"/>
  <c r="R46" i="4"/>
  <c r="Q46" i="4"/>
  <c r="P46" i="4"/>
  <c r="O46" i="4"/>
  <c r="M46" i="4"/>
  <c r="K46" i="4"/>
  <c r="I46" i="4"/>
  <c r="F46" i="4"/>
  <c r="E46" i="4"/>
  <c r="D46" i="4"/>
  <c r="C46" i="4"/>
  <c r="B46" i="4"/>
  <c r="A46" i="4"/>
  <c r="T45" i="4"/>
  <c r="S45" i="4"/>
  <c r="R45" i="4"/>
  <c r="Q45" i="4"/>
  <c r="P45" i="4"/>
  <c r="O45" i="4"/>
  <c r="M45" i="4"/>
  <c r="K45" i="4"/>
  <c r="I45" i="4"/>
  <c r="F45" i="4"/>
  <c r="E45" i="4"/>
  <c r="D45" i="4"/>
  <c r="C45" i="4"/>
  <c r="B45" i="4"/>
  <c r="A45" i="4"/>
  <c r="T44" i="4"/>
  <c r="S44" i="4"/>
  <c r="R44" i="4"/>
  <c r="Q44" i="4"/>
  <c r="P44" i="4"/>
  <c r="O44" i="4"/>
  <c r="M44" i="4"/>
  <c r="K44" i="4"/>
  <c r="I44" i="4"/>
  <c r="F44" i="4"/>
  <c r="E44" i="4"/>
  <c r="D44" i="4"/>
  <c r="C44" i="4"/>
  <c r="B44" i="4"/>
  <c r="A44" i="4"/>
  <c r="T43" i="4"/>
  <c r="S43" i="4"/>
  <c r="R43" i="4"/>
  <c r="Q43" i="4"/>
  <c r="P43" i="4"/>
  <c r="O43" i="4"/>
  <c r="M43" i="4"/>
  <c r="K43" i="4"/>
  <c r="I43" i="4"/>
  <c r="F43" i="4"/>
  <c r="E43" i="4"/>
  <c r="D43" i="4"/>
  <c r="C43" i="4"/>
  <c r="B43" i="4"/>
  <c r="A43" i="4"/>
  <c r="T42" i="4"/>
  <c r="S42" i="4"/>
  <c r="R42" i="4"/>
  <c r="Q42" i="4"/>
  <c r="P42" i="4"/>
  <c r="O42" i="4"/>
  <c r="M42" i="4"/>
  <c r="K42" i="4"/>
  <c r="I42" i="4"/>
  <c r="F42" i="4"/>
  <c r="E42" i="4"/>
  <c r="D42" i="4"/>
  <c r="C42" i="4"/>
  <c r="B42" i="4"/>
  <c r="A42" i="4"/>
  <c r="T41" i="4"/>
  <c r="S41" i="4"/>
  <c r="R41" i="4"/>
  <c r="Q41" i="4"/>
  <c r="P41" i="4"/>
  <c r="O41" i="4"/>
  <c r="M41" i="4"/>
  <c r="K41" i="4"/>
  <c r="I41" i="4"/>
  <c r="F41" i="4"/>
  <c r="E41" i="4"/>
  <c r="D41" i="4"/>
  <c r="C41" i="4"/>
  <c r="B41" i="4"/>
  <c r="A41" i="4"/>
  <c r="T40" i="4"/>
  <c r="S40" i="4"/>
  <c r="R40" i="4"/>
  <c r="Q40" i="4"/>
  <c r="P40" i="4"/>
  <c r="O40" i="4"/>
  <c r="M40" i="4"/>
  <c r="K40" i="4"/>
  <c r="I40" i="4"/>
  <c r="F40" i="4"/>
  <c r="E40" i="4"/>
  <c r="D40" i="4"/>
  <c r="C40" i="4"/>
  <c r="B40" i="4"/>
  <c r="A40" i="4"/>
  <c r="T39" i="4"/>
  <c r="S39" i="4"/>
  <c r="R39" i="4"/>
  <c r="Q39" i="4"/>
  <c r="P39" i="4"/>
  <c r="O39" i="4"/>
  <c r="M39" i="4"/>
  <c r="K39" i="4"/>
  <c r="I39" i="4"/>
  <c r="F39" i="4"/>
  <c r="E39" i="4"/>
  <c r="D39" i="4"/>
  <c r="C39" i="4"/>
  <c r="B39" i="4"/>
  <c r="A39" i="4"/>
  <c r="T38" i="4"/>
  <c r="S38" i="4"/>
  <c r="R38" i="4"/>
  <c r="Q38" i="4"/>
  <c r="P38" i="4"/>
  <c r="O38" i="4"/>
  <c r="M38" i="4"/>
  <c r="K38" i="4"/>
  <c r="I38" i="4"/>
  <c r="F38" i="4"/>
  <c r="E38" i="4"/>
  <c r="D38" i="4"/>
  <c r="C38" i="4"/>
  <c r="B38" i="4"/>
  <c r="A38" i="4"/>
  <c r="T37" i="4"/>
  <c r="S37" i="4"/>
  <c r="R37" i="4"/>
  <c r="Q37" i="4"/>
  <c r="P37" i="4"/>
  <c r="M37" i="4"/>
  <c r="J37" i="4"/>
  <c r="I37" i="4"/>
  <c r="F37" i="4"/>
  <c r="E37" i="4"/>
  <c r="D37" i="4"/>
  <c r="C37" i="4"/>
  <c r="B37" i="4"/>
  <c r="A37" i="4"/>
  <c r="T36" i="4"/>
  <c r="S36" i="4"/>
  <c r="R36" i="4"/>
  <c r="Q36" i="4"/>
  <c r="P36" i="4"/>
  <c r="N36" i="4"/>
  <c r="M36" i="4"/>
  <c r="K36" i="4"/>
  <c r="J36" i="4"/>
  <c r="I36" i="4"/>
  <c r="F36" i="4"/>
  <c r="E36" i="4"/>
  <c r="D36" i="4"/>
  <c r="C36" i="4"/>
  <c r="B36" i="4"/>
  <c r="A36" i="4"/>
  <c r="T35" i="4"/>
  <c r="S35" i="4"/>
  <c r="R35" i="4"/>
  <c r="Q35" i="4"/>
  <c r="P35" i="4"/>
  <c r="O35" i="4"/>
  <c r="N35" i="4"/>
  <c r="M35" i="4"/>
  <c r="K35" i="4"/>
  <c r="J35" i="4"/>
  <c r="I35" i="4"/>
  <c r="F35" i="4"/>
  <c r="E35" i="4"/>
  <c r="D35" i="4"/>
  <c r="C35" i="4"/>
  <c r="B35" i="4"/>
  <c r="A35" i="4"/>
  <c r="T34" i="4"/>
  <c r="S34" i="4"/>
  <c r="R34" i="4"/>
  <c r="Q34" i="4"/>
  <c r="P34" i="4"/>
  <c r="O34" i="4"/>
  <c r="N34" i="4"/>
  <c r="M34" i="4"/>
  <c r="K34" i="4"/>
  <c r="J34" i="4"/>
  <c r="I34" i="4"/>
  <c r="F34" i="4"/>
  <c r="E34" i="4"/>
  <c r="D34" i="4"/>
  <c r="C34" i="4"/>
  <c r="B34" i="4"/>
  <c r="A34" i="4"/>
  <c r="T33" i="4"/>
  <c r="S33" i="4"/>
  <c r="R33" i="4"/>
  <c r="Q33" i="4"/>
  <c r="P33" i="4"/>
  <c r="O33" i="4"/>
  <c r="N33" i="4"/>
  <c r="M33" i="4"/>
  <c r="K33" i="4"/>
  <c r="J33" i="4"/>
  <c r="I33" i="4"/>
  <c r="F33" i="4"/>
  <c r="E33" i="4"/>
  <c r="D33" i="4"/>
  <c r="C33" i="4"/>
  <c r="B33" i="4"/>
  <c r="A33" i="4"/>
  <c r="T32" i="4"/>
  <c r="S32" i="4"/>
  <c r="R32" i="4"/>
  <c r="Q32" i="4"/>
  <c r="P32" i="4"/>
  <c r="O32" i="4"/>
  <c r="N32" i="4"/>
  <c r="M32" i="4"/>
  <c r="K32" i="4"/>
  <c r="J32" i="4"/>
  <c r="I32" i="4"/>
  <c r="F32" i="4"/>
  <c r="E32" i="4"/>
  <c r="D32" i="4"/>
  <c r="C32" i="4"/>
  <c r="B32" i="4"/>
  <c r="A32" i="4"/>
  <c r="T31" i="4"/>
  <c r="S31" i="4"/>
  <c r="R31" i="4"/>
  <c r="Q31" i="4"/>
  <c r="P31" i="4"/>
  <c r="O31" i="4"/>
  <c r="N31" i="4"/>
  <c r="M31" i="4"/>
  <c r="K31" i="4"/>
  <c r="J31" i="4"/>
  <c r="I31" i="4"/>
  <c r="F31" i="4"/>
  <c r="E31" i="4"/>
  <c r="D31" i="4"/>
  <c r="C31" i="4"/>
  <c r="B31" i="4"/>
  <c r="A31" i="4"/>
  <c r="T30" i="4"/>
  <c r="S30" i="4"/>
  <c r="R30" i="4"/>
  <c r="Q30" i="4"/>
  <c r="P30" i="4"/>
  <c r="O30" i="4"/>
  <c r="N30" i="4"/>
  <c r="M30" i="4"/>
  <c r="K30" i="4"/>
  <c r="J30" i="4"/>
  <c r="I30" i="4"/>
  <c r="F30" i="4"/>
  <c r="E30" i="4"/>
  <c r="D30" i="4"/>
  <c r="C30" i="4"/>
  <c r="B30" i="4"/>
  <c r="A30" i="4"/>
  <c r="T29" i="4"/>
  <c r="S29" i="4"/>
  <c r="R29" i="4"/>
  <c r="Q29" i="4"/>
  <c r="P29" i="4"/>
  <c r="M29" i="4"/>
  <c r="K29" i="4"/>
  <c r="F29" i="4"/>
  <c r="E29" i="4"/>
  <c r="D29" i="4"/>
  <c r="C29" i="4"/>
  <c r="B29" i="4"/>
  <c r="A29" i="4"/>
  <c r="T28" i="4"/>
  <c r="S28" i="4"/>
  <c r="R28" i="4"/>
  <c r="Q28" i="4"/>
  <c r="P28" i="4"/>
  <c r="M28" i="4"/>
  <c r="K28" i="4"/>
  <c r="I28" i="4"/>
  <c r="G28" i="4"/>
  <c r="F28" i="4"/>
  <c r="E28" i="4"/>
  <c r="D28" i="4"/>
  <c r="C28" i="4"/>
  <c r="B28" i="4"/>
  <c r="A28" i="4"/>
  <c r="T27" i="4"/>
  <c r="S27" i="4"/>
  <c r="R27" i="4"/>
  <c r="Q27" i="4"/>
  <c r="P27" i="4"/>
  <c r="M27" i="4"/>
  <c r="K27" i="4"/>
  <c r="I27" i="4"/>
  <c r="F27" i="4"/>
  <c r="E27" i="4"/>
  <c r="D27" i="4"/>
  <c r="C27" i="4"/>
  <c r="B27" i="4"/>
  <c r="A27" i="4"/>
  <c r="T26" i="4"/>
  <c r="S26" i="4"/>
  <c r="R26" i="4"/>
  <c r="Q26" i="4"/>
  <c r="P26" i="4"/>
  <c r="O26" i="4"/>
  <c r="M26" i="4"/>
  <c r="K26" i="4"/>
  <c r="I26" i="4"/>
  <c r="F26" i="4"/>
  <c r="E26" i="4"/>
  <c r="D26" i="4"/>
  <c r="C26" i="4"/>
  <c r="B26" i="4"/>
  <c r="A26" i="4"/>
  <c r="T25" i="4"/>
  <c r="S25" i="4"/>
  <c r="R25" i="4"/>
  <c r="Q25" i="4"/>
  <c r="P25" i="4"/>
  <c r="O25" i="4"/>
  <c r="M25" i="4"/>
  <c r="K25" i="4"/>
  <c r="I25" i="4"/>
  <c r="F25" i="4"/>
  <c r="E25" i="4"/>
  <c r="D25" i="4"/>
  <c r="C25" i="4"/>
  <c r="B25" i="4"/>
  <c r="A25" i="4"/>
  <c r="T24" i="4"/>
  <c r="S24" i="4"/>
  <c r="R24" i="4"/>
  <c r="Q24" i="4"/>
  <c r="P24" i="4"/>
  <c r="M24" i="4"/>
  <c r="K24" i="4"/>
  <c r="I24" i="4"/>
  <c r="F24" i="4"/>
  <c r="E24" i="4"/>
  <c r="D24" i="4"/>
  <c r="C24" i="4"/>
  <c r="B24" i="4"/>
  <c r="A24" i="4"/>
  <c r="T23" i="4"/>
  <c r="S23" i="4"/>
  <c r="R23" i="4"/>
  <c r="Q23" i="4"/>
  <c r="P23" i="4"/>
  <c r="O23" i="4"/>
  <c r="M23" i="4"/>
  <c r="K23" i="4"/>
  <c r="I23" i="4"/>
  <c r="F23" i="4"/>
  <c r="E23" i="4"/>
  <c r="D23" i="4"/>
  <c r="C23" i="4"/>
  <c r="B23" i="4"/>
  <c r="A23" i="4"/>
  <c r="T22" i="4"/>
  <c r="S22" i="4"/>
  <c r="R22" i="4"/>
  <c r="Q22" i="4"/>
  <c r="P22" i="4"/>
  <c r="O22" i="4"/>
  <c r="M22" i="4"/>
  <c r="K22" i="4"/>
  <c r="I22" i="4"/>
  <c r="H22" i="4"/>
  <c r="F22" i="4"/>
  <c r="E22" i="4"/>
  <c r="D22" i="4"/>
  <c r="C22" i="4"/>
  <c r="B22" i="4"/>
  <c r="A22" i="4"/>
  <c r="T21" i="4"/>
  <c r="S21" i="4"/>
  <c r="R21" i="4"/>
  <c r="Q21" i="4"/>
  <c r="P21" i="4"/>
  <c r="M21" i="4"/>
  <c r="I21" i="4"/>
  <c r="F21" i="4"/>
  <c r="E21" i="4"/>
  <c r="D21" i="4"/>
  <c r="C21" i="4"/>
  <c r="B21" i="4"/>
  <c r="A21" i="4"/>
  <c r="T20" i="4"/>
  <c r="S20" i="4"/>
  <c r="R20" i="4"/>
  <c r="Q20" i="4"/>
  <c r="P20" i="4"/>
  <c r="O20" i="4"/>
  <c r="M20" i="4"/>
  <c r="I20" i="4"/>
  <c r="F20" i="4"/>
  <c r="E20" i="4"/>
  <c r="D20" i="4"/>
  <c r="C20" i="4"/>
  <c r="B20" i="4"/>
  <c r="A20" i="4"/>
  <c r="T19" i="4"/>
  <c r="S19" i="4"/>
  <c r="R19" i="4"/>
  <c r="Q19" i="4"/>
  <c r="P19" i="4"/>
  <c r="O19" i="4"/>
  <c r="M19" i="4"/>
  <c r="I19" i="4"/>
  <c r="F19" i="4"/>
  <c r="E19" i="4"/>
  <c r="D19" i="4"/>
  <c r="C19" i="4"/>
  <c r="B19" i="4"/>
  <c r="A19" i="4"/>
  <c r="T18" i="4"/>
  <c r="S18" i="4"/>
  <c r="R18" i="4"/>
  <c r="Q18" i="4"/>
  <c r="P18" i="4"/>
  <c r="O18" i="4"/>
  <c r="M18" i="4"/>
  <c r="K18" i="4"/>
  <c r="I18" i="4"/>
  <c r="F18" i="4"/>
  <c r="E18" i="4"/>
  <c r="D18" i="4"/>
  <c r="C18" i="4"/>
  <c r="B18" i="4"/>
  <c r="A18" i="4"/>
  <c r="T17" i="4"/>
  <c r="S17" i="4"/>
  <c r="R17" i="4"/>
  <c r="Q17" i="4"/>
  <c r="P17" i="4"/>
  <c r="O17" i="4"/>
  <c r="M17" i="4"/>
  <c r="K17" i="4"/>
  <c r="G17" i="4"/>
  <c r="F17" i="4"/>
  <c r="E17" i="4"/>
  <c r="D17" i="4"/>
  <c r="C17" i="4"/>
  <c r="B17" i="4"/>
  <c r="A17" i="4"/>
  <c r="T16" i="4"/>
  <c r="S16" i="4"/>
  <c r="R16" i="4"/>
  <c r="Q16" i="4"/>
  <c r="P16" i="4"/>
  <c r="O16" i="4"/>
  <c r="M16" i="4"/>
  <c r="I16" i="4"/>
  <c r="F16" i="4"/>
  <c r="E16" i="4"/>
  <c r="D16" i="4"/>
  <c r="C16" i="4"/>
  <c r="B16" i="4"/>
  <c r="A16" i="4"/>
  <c r="T15" i="4"/>
  <c r="S15" i="4"/>
  <c r="R15" i="4"/>
  <c r="Q15" i="4"/>
  <c r="P15" i="4"/>
  <c r="O15" i="4"/>
  <c r="M15" i="4"/>
  <c r="I15" i="4"/>
  <c r="F15" i="4"/>
  <c r="E15" i="4"/>
  <c r="D15" i="4"/>
  <c r="C15" i="4"/>
  <c r="B15" i="4"/>
  <c r="A15" i="4"/>
  <c r="T14" i="4"/>
  <c r="S14" i="4"/>
  <c r="R14" i="4"/>
  <c r="Q14" i="4"/>
  <c r="P14" i="4"/>
  <c r="O14" i="4"/>
  <c r="M14" i="4"/>
  <c r="K14" i="4"/>
  <c r="I14" i="4"/>
  <c r="F14" i="4"/>
  <c r="E14" i="4"/>
  <c r="D14" i="4"/>
  <c r="C14" i="4"/>
  <c r="B14" i="4"/>
  <c r="A14" i="4"/>
  <c r="T13" i="4"/>
  <c r="S13" i="4"/>
  <c r="R13" i="4"/>
  <c r="Q13" i="4"/>
  <c r="P13" i="4"/>
  <c r="M13" i="4"/>
  <c r="K13" i="4"/>
  <c r="I13" i="4"/>
  <c r="F13" i="4"/>
  <c r="E13" i="4"/>
  <c r="D13" i="4"/>
  <c r="C13" i="4"/>
  <c r="B13" i="4"/>
  <c r="A13" i="4"/>
  <c r="T12" i="4"/>
  <c r="S12" i="4"/>
  <c r="R12" i="4"/>
  <c r="Q12" i="4"/>
  <c r="P12" i="4"/>
  <c r="O12" i="4"/>
  <c r="M12" i="4"/>
  <c r="K12" i="4"/>
  <c r="I12" i="4"/>
  <c r="F12" i="4"/>
  <c r="E12" i="4"/>
  <c r="D12" i="4"/>
  <c r="C12" i="4"/>
  <c r="B12" i="4"/>
  <c r="A12" i="4"/>
  <c r="T11" i="4"/>
  <c r="S11" i="4"/>
  <c r="R11" i="4"/>
  <c r="Q11" i="4"/>
  <c r="P11" i="4"/>
  <c r="O11" i="4"/>
  <c r="M11" i="4"/>
  <c r="K11" i="4"/>
  <c r="I11" i="4"/>
  <c r="F11" i="4"/>
  <c r="E11" i="4"/>
  <c r="D11" i="4"/>
  <c r="C11" i="4"/>
  <c r="B11" i="4"/>
  <c r="A11" i="4"/>
  <c r="T10" i="4"/>
  <c r="S10" i="4"/>
  <c r="R10" i="4"/>
  <c r="Q10" i="4"/>
  <c r="P10" i="4"/>
  <c r="O10" i="4"/>
  <c r="M10" i="4"/>
  <c r="K10" i="4"/>
  <c r="I10" i="4"/>
  <c r="F10" i="4"/>
  <c r="E10" i="4"/>
  <c r="D10" i="4"/>
  <c r="C10" i="4"/>
  <c r="B10" i="4"/>
  <c r="A10" i="4"/>
  <c r="T9" i="4"/>
  <c r="S9" i="4"/>
  <c r="R9" i="4"/>
  <c r="Q9" i="4"/>
  <c r="P9" i="4"/>
  <c r="O9" i="4"/>
  <c r="M9" i="4"/>
  <c r="K9" i="4"/>
  <c r="I9" i="4"/>
  <c r="F9" i="4"/>
  <c r="E9" i="4"/>
  <c r="D9" i="4"/>
  <c r="C9" i="4"/>
  <c r="B9" i="4"/>
  <c r="A9" i="4"/>
  <c r="T8" i="4"/>
  <c r="S8" i="4"/>
  <c r="R8" i="4"/>
  <c r="Q8" i="4"/>
  <c r="P8" i="4"/>
  <c r="O8" i="4"/>
  <c r="M8" i="4"/>
  <c r="K8" i="4"/>
  <c r="I8" i="4"/>
  <c r="F8" i="4"/>
  <c r="E8" i="4"/>
  <c r="D8" i="4"/>
  <c r="C8" i="4"/>
  <c r="B8" i="4"/>
  <c r="A8" i="4"/>
  <c r="T7" i="4"/>
  <c r="S7" i="4"/>
  <c r="R7" i="4"/>
  <c r="Q7" i="4"/>
  <c r="P7" i="4"/>
  <c r="O7" i="4"/>
  <c r="M7" i="4"/>
  <c r="K7" i="4"/>
  <c r="I7" i="4"/>
  <c r="F7" i="4"/>
  <c r="E7" i="4"/>
  <c r="D7" i="4"/>
  <c r="C7" i="4"/>
  <c r="B7" i="4"/>
  <c r="A7" i="4"/>
  <c r="T6" i="4"/>
  <c r="S6" i="4"/>
  <c r="R6" i="4"/>
  <c r="Q6" i="4"/>
  <c r="P6" i="4"/>
  <c r="O6" i="4"/>
  <c r="M6" i="4"/>
  <c r="K6" i="4"/>
  <c r="I6" i="4"/>
  <c r="F6" i="4"/>
  <c r="E6" i="4"/>
  <c r="D6" i="4"/>
  <c r="C6" i="4"/>
  <c r="B6" i="4"/>
  <c r="A6" i="4"/>
  <c r="T5" i="4"/>
  <c r="S5" i="4"/>
  <c r="R5" i="4"/>
  <c r="Q5" i="4"/>
  <c r="P5" i="4"/>
  <c r="O5" i="4"/>
  <c r="M5" i="4"/>
  <c r="K5" i="4"/>
  <c r="I5" i="4"/>
  <c r="F5" i="4"/>
  <c r="E5" i="4"/>
  <c r="D5" i="4"/>
  <c r="C5" i="4"/>
  <c r="B5" i="4"/>
  <c r="A5" i="4"/>
  <c r="T4" i="4"/>
  <c r="S4" i="4"/>
  <c r="R4" i="4"/>
  <c r="Q4" i="4"/>
  <c r="P4" i="4"/>
  <c r="M4" i="4"/>
  <c r="K4" i="4"/>
  <c r="F4" i="4"/>
  <c r="E4" i="4"/>
  <c r="D4" i="4"/>
  <c r="C4" i="4"/>
  <c r="B4" i="4"/>
  <c r="A4" i="4"/>
  <c r="T3" i="4"/>
  <c r="S3" i="4"/>
  <c r="R3" i="4"/>
  <c r="Q3" i="4"/>
  <c r="P3" i="4"/>
  <c r="O3" i="4"/>
  <c r="M3" i="4"/>
  <c r="K3" i="4"/>
  <c r="I3" i="4"/>
  <c r="F3" i="4"/>
  <c r="E3" i="4"/>
  <c r="D3" i="4"/>
  <c r="C3" i="4"/>
  <c r="B3" i="4"/>
  <c r="A3" i="4"/>
  <c r="T2" i="4"/>
  <c r="S2" i="4"/>
  <c r="R2" i="4"/>
  <c r="Q2" i="4"/>
  <c r="P2" i="4"/>
  <c r="O2" i="4"/>
  <c r="M2" i="4"/>
  <c r="K2" i="4"/>
  <c r="I2" i="4"/>
  <c r="F2" i="4"/>
  <c r="E2" i="4"/>
  <c r="D2" i="4"/>
  <c r="C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0000000-0006-0000-0300-000001000000}">
      <text>
        <r>
          <rPr>
            <sz val="10"/>
            <color rgb="FF000000"/>
            <rFont val="Arial"/>
          </rPr>
          <t>Type of Site</t>
        </r>
      </text>
    </comment>
    <comment ref="G1" authorId="0" shapeId="0" xr:uid="{00000000-0006-0000-0300-000002000000}">
      <text>
        <r>
          <rPr>
            <sz val="10"/>
            <color rgb="FF000000"/>
            <rFont val="Arial"/>
          </rPr>
          <t>Website for general information on site</t>
        </r>
      </text>
    </comment>
  </commentList>
</comments>
</file>

<file path=xl/sharedStrings.xml><?xml version="1.0" encoding="utf-8"?>
<sst xmlns="http://schemas.openxmlformats.org/spreadsheetml/2006/main" count="20" uniqueCount="20">
  <si>
    <t>County</t>
  </si>
  <si>
    <t>Municipality</t>
  </si>
  <si>
    <t>Name of Facility</t>
  </si>
  <si>
    <t>Full Address</t>
  </si>
  <si>
    <t>Active Yes No</t>
  </si>
  <si>
    <t>Site Operator Type</t>
  </si>
  <si>
    <t>General Website</t>
  </si>
  <si>
    <t>Hours</t>
  </si>
  <si>
    <t>Scheduling URL</t>
  </si>
  <si>
    <t>Online Scheduling?</t>
  </si>
  <si>
    <t>Scheduling Contact Phone</t>
  </si>
  <si>
    <t>Scheduling Contact Email</t>
  </si>
  <si>
    <t>Scheduling Notes</t>
  </si>
  <si>
    <t>Other notes</t>
  </si>
  <si>
    <t>Vaccinations over Age 12</t>
  </si>
  <si>
    <t>ZIP Code</t>
  </si>
  <si>
    <t>Pfizer_Available</t>
  </si>
  <si>
    <t>Moderna_Available</t>
  </si>
  <si>
    <t>JandJ_Available</t>
  </si>
  <si>
    <t>Vaccinations 5_11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</si>
</sst>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</font>
    <font>
      <sz val="10"/>
      <color theme="1"/>
      <name val="Arial"/>
    </font>
    <font>
      <u/>
      <sz val="10"/>
      <color rgb="FF0000FF"/>
      <name val="Arial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1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9"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3">
    <tableStyle name="County Vaccination Retail Site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5-11 County Vaccination Retail 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12plus County Vaccination Retai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feway.com/covid-19" TargetMode="External"/><Relationship Id="rId21" Type="http://schemas.openxmlformats.org/officeDocument/2006/relationships/hyperlink" Target="https://walmart.com/covidvaccine" TargetMode="External"/><Relationship Id="rId42" Type="http://schemas.openxmlformats.org/officeDocument/2006/relationships/hyperlink" Target="https://www.walgreens.com/schedulevaccine" TargetMode="External"/><Relationship Id="rId63" Type="http://schemas.openxmlformats.org/officeDocument/2006/relationships/hyperlink" Target="https://www.weismarkets.com/pharmacy-services" TargetMode="External"/><Relationship Id="rId84" Type="http://schemas.openxmlformats.org/officeDocument/2006/relationships/hyperlink" Target="https://www.cvs.com/immunizations/covid-19-vaccine" TargetMode="External"/><Relationship Id="rId138" Type="http://schemas.openxmlformats.org/officeDocument/2006/relationships/hyperlink" Target="https://www.walgreens.com/schedulevaccine" TargetMode="External"/><Relationship Id="rId159" Type="http://schemas.openxmlformats.org/officeDocument/2006/relationships/hyperlink" Target="https://www.walgreens.com/schedulevaccine" TargetMode="External"/><Relationship Id="rId170" Type="http://schemas.openxmlformats.org/officeDocument/2006/relationships/hyperlink" Target="https://www.walgreens.com/schedulevaccine" TargetMode="External"/><Relationship Id="rId191" Type="http://schemas.openxmlformats.org/officeDocument/2006/relationships/hyperlink" Target="https://www.walgreens.com/schedulevaccine" TargetMode="External"/><Relationship Id="rId205" Type="http://schemas.openxmlformats.org/officeDocument/2006/relationships/hyperlink" Target="https://giantfoodsched.rxtouch.com/rbssched/program/wellness/Patient/Advisory" TargetMode="External"/><Relationship Id="rId226" Type="http://schemas.openxmlformats.org/officeDocument/2006/relationships/hyperlink" Target="https://www.cvs.com/immunizations/covid-19-vaccine" TargetMode="External"/><Relationship Id="rId247" Type="http://schemas.openxmlformats.org/officeDocument/2006/relationships/hyperlink" Target="https://k8j5m.app.goo.gl/DqNe" TargetMode="External"/><Relationship Id="rId107" Type="http://schemas.openxmlformats.org/officeDocument/2006/relationships/hyperlink" Target="https://www.weismarkets.com/pharmacy-services" TargetMode="External"/><Relationship Id="rId268" Type="http://schemas.openxmlformats.org/officeDocument/2006/relationships/hyperlink" Target="https://www.cvs.com/immunizations/covid-19-vaccine" TargetMode="External"/><Relationship Id="rId289" Type="http://schemas.openxmlformats.org/officeDocument/2006/relationships/hyperlink" Target="https://bit.ly/3m8u6mK" TargetMode="External"/><Relationship Id="rId11" Type="http://schemas.openxmlformats.org/officeDocument/2006/relationships/hyperlink" Target="https://www.walgreens.com/schedulevaccine" TargetMode="External"/><Relationship Id="rId32" Type="http://schemas.openxmlformats.org/officeDocument/2006/relationships/hyperlink" Target="https://www.cvs.com/immunizations/covid-19-vaccine" TargetMode="External"/><Relationship Id="rId53" Type="http://schemas.openxmlformats.org/officeDocument/2006/relationships/hyperlink" Target="https://walmart.com/covidvaccine" TargetMode="External"/><Relationship Id="rId74" Type="http://schemas.openxmlformats.org/officeDocument/2006/relationships/hyperlink" Target="https://walmart.com/covidvaccine" TargetMode="External"/><Relationship Id="rId128" Type="http://schemas.openxmlformats.org/officeDocument/2006/relationships/hyperlink" Target="https://mhealthsystem.com/covid1938" TargetMode="External"/><Relationship Id="rId149" Type="http://schemas.openxmlformats.org/officeDocument/2006/relationships/hyperlink" Target="https://www.cvs.com/immunizations/covid-19-vaccine" TargetMode="External"/><Relationship Id="rId5" Type="http://schemas.openxmlformats.org/officeDocument/2006/relationships/hyperlink" Target="https://www.walgreens.com/schedulevaccine" TargetMode="External"/><Relationship Id="rId95" Type="http://schemas.openxmlformats.org/officeDocument/2006/relationships/hyperlink" Target="https://www.walgreens.com/schedulevaccine" TargetMode="External"/><Relationship Id="rId160" Type="http://schemas.openxmlformats.org/officeDocument/2006/relationships/hyperlink" Target="https://walmart.com/covidvaccine" TargetMode="External"/><Relationship Id="rId181" Type="http://schemas.openxmlformats.org/officeDocument/2006/relationships/hyperlink" Target="https://bookacovidvaccine.com/columbia-hickory-pharmacy/" TargetMode="External"/><Relationship Id="rId216" Type="http://schemas.openxmlformats.org/officeDocument/2006/relationships/hyperlink" Target="https://www.cvs.com/immunizations/covid-19-vaccine" TargetMode="External"/><Relationship Id="rId237" Type="http://schemas.openxmlformats.org/officeDocument/2006/relationships/hyperlink" Target="https://www.walgreens.com/schedulevaccine" TargetMode="External"/><Relationship Id="rId258" Type="http://schemas.openxmlformats.org/officeDocument/2006/relationships/hyperlink" Target="https://www.harristeeterpharmacy.com/rx/covid-eligibility" TargetMode="External"/><Relationship Id="rId279" Type="http://schemas.openxmlformats.org/officeDocument/2006/relationships/hyperlink" Target="https://walmart.com/covidvaccine" TargetMode="External"/><Relationship Id="rId22" Type="http://schemas.openxmlformats.org/officeDocument/2006/relationships/hyperlink" Target="https://walmart.com/covidvaccine" TargetMode="External"/><Relationship Id="rId43" Type="http://schemas.openxmlformats.org/officeDocument/2006/relationships/hyperlink" Target="https://www.walgreens.com/schedulevaccine" TargetMode="External"/><Relationship Id="rId64" Type="http://schemas.openxmlformats.org/officeDocument/2006/relationships/hyperlink" Target="https://www.wegmans.com/covid-vaccine-registration/" TargetMode="External"/><Relationship Id="rId118" Type="http://schemas.openxmlformats.org/officeDocument/2006/relationships/hyperlink" Target="https://www.finksburgpharmacy.com/" TargetMode="External"/><Relationship Id="rId139" Type="http://schemas.openxmlformats.org/officeDocument/2006/relationships/hyperlink" Target="https://www.walgreens.com/schedulevaccine" TargetMode="External"/><Relationship Id="rId290" Type="http://schemas.openxmlformats.org/officeDocument/2006/relationships/printerSettings" Target="../printerSettings/printerSettings1.bin"/><Relationship Id="rId85" Type="http://schemas.openxmlformats.org/officeDocument/2006/relationships/hyperlink" Target="https://www.cvs.com/immunizations/covid-19-vaccine" TargetMode="External"/><Relationship Id="rId150" Type="http://schemas.openxmlformats.org/officeDocument/2006/relationships/hyperlink" Target="https://www.cvs.com/immunizations/covid-19-vaccine" TargetMode="External"/><Relationship Id="rId171" Type="http://schemas.openxmlformats.org/officeDocument/2006/relationships/hyperlink" Target="https://www.walgreens.com/schedulevaccine" TargetMode="External"/><Relationship Id="rId192" Type="http://schemas.openxmlformats.org/officeDocument/2006/relationships/hyperlink" Target="https://www.walgreens.com/schedulevaccine" TargetMode="External"/><Relationship Id="rId206" Type="http://schemas.openxmlformats.org/officeDocument/2006/relationships/hyperlink" Target="https://giantfoodsched.rxtouch.com/rbssched/program/wellness/Patient/Advisory" TargetMode="External"/><Relationship Id="rId227" Type="http://schemas.openxmlformats.org/officeDocument/2006/relationships/hyperlink" Target="https://www.cvs.com/immunizations/covid-19-vaccine" TargetMode="External"/><Relationship Id="rId248" Type="http://schemas.openxmlformats.org/officeDocument/2006/relationships/hyperlink" Target="https://www.safeway.com/covid-19" TargetMode="External"/><Relationship Id="rId269" Type="http://schemas.openxmlformats.org/officeDocument/2006/relationships/hyperlink" Target="https://www.walgreens.com/schedulevaccine" TargetMode="External"/><Relationship Id="rId12" Type="http://schemas.openxmlformats.org/officeDocument/2006/relationships/hyperlink" Target="https://walmart.com/covidvaccine" TargetMode="External"/><Relationship Id="rId33" Type="http://schemas.openxmlformats.org/officeDocument/2006/relationships/hyperlink" Target="https://www.cvs.com/immunizations/covid-19-vaccine" TargetMode="External"/><Relationship Id="rId108" Type="http://schemas.openxmlformats.org/officeDocument/2006/relationships/hyperlink" Target="https://giantfoodsched.rxtouch.com/rbssched/program/wellness/Patient/Advisory" TargetMode="External"/><Relationship Id="rId129" Type="http://schemas.openxmlformats.org/officeDocument/2006/relationships/hyperlink" Target="https://www.walgreens.com/schedulevaccine" TargetMode="External"/><Relationship Id="rId280" Type="http://schemas.openxmlformats.org/officeDocument/2006/relationships/hyperlink" Target="https://walmart.com/covidvaccine" TargetMode="External"/><Relationship Id="rId54" Type="http://schemas.openxmlformats.org/officeDocument/2006/relationships/hyperlink" Target="https://www.safeway.com/covid-19" TargetMode="External"/><Relationship Id="rId75" Type="http://schemas.openxmlformats.org/officeDocument/2006/relationships/hyperlink" Target="https://www.samsclub.com/pharmacy" TargetMode="External"/><Relationship Id="rId96" Type="http://schemas.openxmlformats.org/officeDocument/2006/relationships/hyperlink" Target="https://www.walgreens.com/schedulevaccine" TargetMode="External"/><Relationship Id="rId140" Type="http://schemas.openxmlformats.org/officeDocument/2006/relationships/hyperlink" Target="https://walmart.com/covidvaccine" TargetMode="External"/><Relationship Id="rId161" Type="http://schemas.openxmlformats.org/officeDocument/2006/relationships/hyperlink" Target="https://vaccines.shoprite.com/" TargetMode="External"/><Relationship Id="rId182" Type="http://schemas.openxmlformats.org/officeDocument/2006/relationships/hyperlink" Target="https://bookacovidvaccine.com/ellicott-city-pharmacy/" TargetMode="External"/><Relationship Id="rId217" Type="http://schemas.openxmlformats.org/officeDocument/2006/relationships/hyperlink" Target="https://www.cvs.com/immunizations/covid-19-vaccine" TargetMode="External"/><Relationship Id="rId6" Type="http://schemas.openxmlformats.org/officeDocument/2006/relationships/hyperlink" Target="https://www.walgreens.com/schedulevaccine" TargetMode="External"/><Relationship Id="rId238" Type="http://schemas.openxmlformats.org/officeDocument/2006/relationships/hyperlink" Target="https://www.walgreens.com/schedulevaccine" TargetMode="External"/><Relationship Id="rId259" Type="http://schemas.openxmlformats.org/officeDocument/2006/relationships/hyperlink" Target="https://mhealthsystem.com/covid1939" TargetMode="External"/><Relationship Id="rId23" Type="http://schemas.openxmlformats.org/officeDocument/2006/relationships/hyperlink" Target="https://walmart.com/covidvaccine" TargetMode="External"/><Relationship Id="rId119" Type="http://schemas.openxmlformats.org/officeDocument/2006/relationships/hyperlink" Target="https://www.weismarkets.com/pharmacy-services" TargetMode="External"/><Relationship Id="rId270" Type="http://schemas.openxmlformats.org/officeDocument/2006/relationships/hyperlink" Target="https://walmart.com/covidvaccine" TargetMode="External"/><Relationship Id="rId291" Type="http://schemas.openxmlformats.org/officeDocument/2006/relationships/vmlDrawing" Target="../drawings/vmlDrawing1.vml"/><Relationship Id="rId44" Type="http://schemas.openxmlformats.org/officeDocument/2006/relationships/hyperlink" Target="https://www.walgreens.com/schedulevaccine" TargetMode="External"/><Relationship Id="rId65" Type="http://schemas.openxmlformats.org/officeDocument/2006/relationships/hyperlink" Target="https://www.wegmans.com/covid-vaccine-registration/" TargetMode="External"/><Relationship Id="rId86" Type="http://schemas.openxmlformats.org/officeDocument/2006/relationships/hyperlink" Target="https://www.cvs.com/immunizations/covid-19-vaccine" TargetMode="External"/><Relationship Id="rId130" Type="http://schemas.openxmlformats.org/officeDocument/2006/relationships/hyperlink" Target="https://www.walgreens.com/schedulevaccine" TargetMode="External"/><Relationship Id="rId151" Type="http://schemas.openxmlformats.org/officeDocument/2006/relationships/hyperlink" Target="https://www.cvs.com/immunizations/covid-19-vaccine" TargetMode="External"/><Relationship Id="rId172" Type="http://schemas.openxmlformats.org/officeDocument/2006/relationships/hyperlink" Target="https://walmart.com/covidvaccine" TargetMode="External"/><Relationship Id="rId193" Type="http://schemas.openxmlformats.org/officeDocument/2006/relationships/hyperlink" Target="https://www.walgreens.com/schedulevaccine" TargetMode="External"/><Relationship Id="rId207" Type="http://schemas.openxmlformats.org/officeDocument/2006/relationships/hyperlink" Target="https://www.safeway.com/covid-19" TargetMode="External"/><Relationship Id="rId228" Type="http://schemas.openxmlformats.org/officeDocument/2006/relationships/hyperlink" Target="https://www.harristeeterpharmacy.com/rx/covid-eligibility" TargetMode="External"/><Relationship Id="rId249" Type="http://schemas.openxmlformats.org/officeDocument/2006/relationships/hyperlink" Target="https://www.weismarkets.com/pharmacy-services" TargetMode="External"/><Relationship Id="rId13" Type="http://schemas.openxmlformats.org/officeDocument/2006/relationships/hyperlink" Target="https://www.safeway.com/covid-19" TargetMode="External"/><Relationship Id="rId109" Type="http://schemas.openxmlformats.org/officeDocument/2006/relationships/hyperlink" Target="https://walmart.com/covidvaccine" TargetMode="External"/><Relationship Id="rId260" Type="http://schemas.openxmlformats.org/officeDocument/2006/relationships/hyperlink" Target="https://www.walgreens.com/schedulevaccine" TargetMode="External"/><Relationship Id="rId281" Type="http://schemas.openxmlformats.org/officeDocument/2006/relationships/hyperlink" Target="https://www.samsclub.com/pharmacy" TargetMode="External"/><Relationship Id="rId34" Type="http://schemas.openxmlformats.org/officeDocument/2006/relationships/hyperlink" Target="https://www.cvs.com/immunizations/covid-19-vaccine" TargetMode="External"/><Relationship Id="rId50" Type="http://schemas.openxmlformats.org/officeDocument/2006/relationships/hyperlink" Target="https://www.walgreens.com/schedulevaccine" TargetMode="External"/><Relationship Id="rId55" Type="http://schemas.openxmlformats.org/officeDocument/2006/relationships/hyperlink" Target="https://giantfoodsched.rxtouch.com/rbssched/program/wellness/Patient/Advisory" TargetMode="External"/><Relationship Id="rId76" Type="http://schemas.openxmlformats.org/officeDocument/2006/relationships/hyperlink" Target="https://www.samsclub.com/pharmacy" TargetMode="External"/><Relationship Id="rId97" Type="http://schemas.openxmlformats.org/officeDocument/2006/relationships/hyperlink" Target="https://www.walgreens.com/schedulevaccine" TargetMode="External"/><Relationship Id="rId104" Type="http://schemas.openxmlformats.org/officeDocument/2006/relationships/hyperlink" Target="https://www.riteaid.com/pharmacy/covid-qualifier" TargetMode="External"/><Relationship Id="rId120" Type="http://schemas.openxmlformats.org/officeDocument/2006/relationships/hyperlink" Target="https://www.weismarkets.com/pharmacy-services" TargetMode="External"/><Relationship Id="rId125" Type="http://schemas.openxmlformats.org/officeDocument/2006/relationships/hyperlink" Target="https://www.walgreens.com/schedulevaccine" TargetMode="External"/><Relationship Id="rId141" Type="http://schemas.openxmlformats.org/officeDocument/2006/relationships/hyperlink" Target="https://walmart.com/covidvaccine" TargetMode="External"/><Relationship Id="rId146" Type="http://schemas.openxmlformats.org/officeDocument/2006/relationships/hyperlink" Target="https://www.wegmans.com/covid-vaccine-registration/" TargetMode="External"/><Relationship Id="rId167" Type="http://schemas.openxmlformats.org/officeDocument/2006/relationships/hyperlink" Target="https://www.cvs.com/immunizations/covid-19-vaccine" TargetMode="External"/><Relationship Id="rId188" Type="http://schemas.openxmlformats.org/officeDocument/2006/relationships/hyperlink" Target="https://www.walgreens.com/schedulevaccine" TargetMode="External"/><Relationship Id="rId7" Type="http://schemas.openxmlformats.org/officeDocument/2006/relationships/hyperlink" Target="https://www.walgreens.com/schedulevaccine" TargetMode="External"/><Relationship Id="rId71" Type="http://schemas.openxmlformats.org/officeDocument/2006/relationships/hyperlink" Target="https://walmart.com/covidvaccine" TargetMode="External"/><Relationship Id="rId92" Type="http://schemas.openxmlformats.org/officeDocument/2006/relationships/hyperlink" Target="https://www.walgreens.com/schedulevaccine" TargetMode="External"/><Relationship Id="rId162" Type="http://schemas.openxmlformats.org/officeDocument/2006/relationships/hyperlink" Target="https://vaccines.shoprite.com/" TargetMode="External"/><Relationship Id="rId183" Type="http://schemas.openxmlformats.org/officeDocument/2006/relationships/hyperlink" Target="https://www.harristeeterpharmacy.com/rx/covid-eligibility" TargetMode="External"/><Relationship Id="rId213" Type="http://schemas.openxmlformats.org/officeDocument/2006/relationships/hyperlink" Target="https://giantfoodsched.rxtouch.com/rbssched/program/wellness/Patient/Advisory" TargetMode="External"/><Relationship Id="rId218" Type="http://schemas.openxmlformats.org/officeDocument/2006/relationships/hyperlink" Target="https://www.cvs.com/immunizations/covid-19-vaccine" TargetMode="External"/><Relationship Id="rId234" Type="http://schemas.openxmlformats.org/officeDocument/2006/relationships/hyperlink" Target="https://giantfoodsched.rxtouch.com/rbssched/program/wellness/Patient/Advisory" TargetMode="External"/><Relationship Id="rId239" Type="http://schemas.openxmlformats.org/officeDocument/2006/relationships/hyperlink" Target="https://www.walgreens.com/schedulevaccine" TargetMode="External"/><Relationship Id="rId2" Type="http://schemas.openxmlformats.org/officeDocument/2006/relationships/hyperlink" Target="https://walmart.com/covidvaccine" TargetMode="External"/><Relationship Id="rId29" Type="http://schemas.openxmlformats.org/officeDocument/2006/relationships/hyperlink" Target="https://www.cvs.com/immunizations/covid-19-vaccine" TargetMode="External"/><Relationship Id="rId250" Type="http://schemas.openxmlformats.org/officeDocument/2006/relationships/hyperlink" Target="https://www.weismarkets.com/pharmacy-services" TargetMode="External"/><Relationship Id="rId255" Type="http://schemas.openxmlformats.org/officeDocument/2006/relationships/hyperlink" Target="https://www.cvs.com/immunizations/covid-19-vaccine" TargetMode="External"/><Relationship Id="rId271" Type="http://schemas.openxmlformats.org/officeDocument/2006/relationships/hyperlink" Target="https://walmart.com/covidvaccine" TargetMode="External"/><Relationship Id="rId276" Type="http://schemas.openxmlformats.org/officeDocument/2006/relationships/hyperlink" Target="https://www.cvs.com/immunizations/covid-19-vaccine" TargetMode="External"/><Relationship Id="rId292" Type="http://schemas.openxmlformats.org/officeDocument/2006/relationships/comments" Target="../comments1.xml"/><Relationship Id="rId24" Type="http://schemas.openxmlformats.org/officeDocument/2006/relationships/hyperlink" Target="https://walmart.com/covidvaccine" TargetMode="External"/><Relationship Id="rId40" Type="http://schemas.openxmlformats.org/officeDocument/2006/relationships/hyperlink" Target="https://www.walgreens.com/schedulevaccine" TargetMode="External"/><Relationship Id="rId45" Type="http://schemas.openxmlformats.org/officeDocument/2006/relationships/hyperlink" Target="https://www.walgreens.com/schedulevaccine" TargetMode="External"/><Relationship Id="rId66" Type="http://schemas.openxmlformats.org/officeDocument/2006/relationships/hyperlink" Target="https://giantfoodsched.rxtouch.com/rbssched/program/wellness/Patient/Advisory" TargetMode="External"/><Relationship Id="rId87" Type="http://schemas.openxmlformats.org/officeDocument/2006/relationships/hyperlink" Target="https://www.mycovidshots.com/" TargetMode="External"/><Relationship Id="rId110" Type="http://schemas.openxmlformats.org/officeDocument/2006/relationships/hyperlink" Target="https://walmart.com/covidvaccine" TargetMode="External"/><Relationship Id="rId115" Type="http://schemas.openxmlformats.org/officeDocument/2006/relationships/hyperlink" Target="https://walmart.com/covidvaccine" TargetMode="External"/><Relationship Id="rId131" Type="http://schemas.openxmlformats.org/officeDocument/2006/relationships/hyperlink" Target="https://walmart.com/covidvaccine" TargetMode="External"/><Relationship Id="rId136" Type="http://schemas.openxmlformats.org/officeDocument/2006/relationships/hyperlink" Target="https://www.walgreens.com/schedulevaccine" TargetMode="External"/><Relationship Id="rId157" Type="http://schemas.openxmlformats.org/officeDocument/2006/relationships/hyperlink" Target="https://www.walgreens.com/schedulevaccine" TargetMode="External"/><Relationship Id="rId178" Type="http://schemas.openxmlformats.org/officeDocument/2006/relationships/hyperlink" Target="https://walmart.com/covidvaccine" TargetMode="External"/><Relationship Id="rId61" Type="http://schemas.openxmlformats.org/officeDocument/2006/relationships/hyperlink" Target="https://www.weismarkets.com/pharmacy-services" TargetMode="External"/><Relationship Id="rId82" Type="http://schemas.openxmlformats.org/officeDocument/2006/relationships/hyperlink" Target="https://www.cvs.com/immunizations/covid-19-vaccine" TargetMode="External"/><Relationship Id="rId152" Type="http://schemas.openxmlformats.org/officeDocument/2006/relationships/hyperlink" Target="https://www.cvs.com/immunizations/covid-19-vaccine" TargetMode="External"/><Relationship Id="rId173" Type="http://schemas.openxmlformats.org/officeDocument/2006/relationships/hyperlink" Target="https://www.safeway.com/covid-19" TargetMode="External"/><Relationship Id="rId194" Type="http://schemas.openxmlformats.org/officeDocument/2006/relationships/hyperlink" Target="https://www.walgreens.com/schedulevaccine" TargetMode="External"/><Relationship Id="rId199" Type="http://schemas.openxmlformats.org/officeDocument/2006/relationships/hyperlink" Target="https://walmart.com/covidvaccine" TargetMode="External"/><Relationship Id="rId203" Type="http://schemas.openxmlformats.org/officeDocument/2006/relationships/hyperlink" Target="https://www.safeway.com/covid-19" TargetMode="External"/><Relationship Id="rId208" Type="http://schemas.openxmlformats.org/officeDocument/2006/relationships/hyperlink" Target="https://www.wegmans.com/covid-vaccine-registration/" TargetMode="External"/><Relationship Id="rId229" Type="http://schemas.openxmlformats.org/officeDocument/2006/relationships/hyperlink" Target="https://www.harristeeterpharmacy.com/rx/covid-eligibility" TargetMode="External"/><Relationship Id="rId19" Type="http://schemas.openxmlformats.org/officeDocument/2006/relationships/hyperlink" Target="https://www.riteaid.com/pharmacy/covid-qualifier" TargetMode="External"/><Relationship Id="rId224" Type="http://schemas.openxmlformats.org/officeDocument/2006/relationships/hyperlink" Target="https://www.cvs.com/immunizations/covid-19-vaccine" TargetMode="External"/><Relationship Id="rId240" Type="http://schemas.openxmlformats.org/officeDocument/2006/relationships/hyperlink" Target="https://www.walgreens.com/schedulevaccine" TargetMode="External"/><Relationship Id="rId245" Type="http://schemas.openxmlformats.org/officeDocument/2006/relationships/hyperlink" Target="https://k8j5m.app.goo.gl/YFEB" TargetMode="External"/><Relationship Id="rId261" Type="http://schemas.openxmlformats.org/officeDocument/2006/relationships/hyperlink" Target="https://www.cvs.com/immunizations/covid-19-vaccine" TargetMode="External"/><Relationship Id="rId266" Type="http://schemas.openxmlformats.org/officeDocument/2006/relationships/hyperlink" Target="https://walmart.com/covidvaccine" TargetMode="External"/><Relationship Id="rId287" Type="http://schemas.openxmlformats.org/officeDocument/2006/relationships/hyperlink" Target="https://walmart.com/covidvaccine" TargetMode="External"/><Relationship Id="rId14" Type="http://schemas.openxmlformats.org/officeDocument/2006/relationships/hyperlink" Target="https://www.safeway.com/covid-19" TargetMode="External"/><Relationship Id="rId30" Type="http://schemas.openxmlformats.org/officeDocument/2006/relationships/hyperlink" Target="https://www.cvs.com/immunizations/covid-19-vaccine" TargetMode="External"/><Relationship Id="rId35" Type="http://schemas.openxmlformats.org/officeDocument/2006/relationships/hyperlink" Target="https://www.harristeeterpharmacy.com/rx/covid-eligibility" TargetMode="External"/><Relationship Id="rId56" Type="http://schemas.openxmlformats.org/officeDocument/2006/relationships/hyperlink" Target="https://www.catonsvillepharmacy.com/" TargetMode="External"/><Relationship Id="rId77" Type="http://schemas.openxmlformats.org/officeDocument/2006/relationships/hyperlink" Target="https://www.samsclub.com/pharmacy" TargetMode="External"/><Relationship Id="rId100" Type="http://schemas.openxmlformats.org/officeDocument/2006/relationships/hyperlink" Target="https://www.riteaid.com/pharmacy/covid-qualifier" TargetMode="External"/><Relationship Id="rId105" Type="http://schemas.openxmlformats.org/officeDocument/2006/relationships/hyperlink" Target="https://www.walgreens.com/schedulevaccine" TargetMode="External"/><Relationship Id="rId126" Type="http://schemas.openxmlformats.org/officeDocument/2006/relationships/hyperlink" Target="https://walmart.com/covidvaccine" TargetMode="External"/><Relationship Id="rId147" Type="http://schemas.openxmlformats.org/officeDocument/2006/relationships/hyperlink" Target="https://giantfoodsched.rxtouch.com/rbssched/program/wellness/Patient/Advisory" TargetMode="External"/><Relationship Id="rId168" Type="http://schemas.openxmlformats.org/officeDocument/2006/relationships/hyperlink" Target="https://giantfoodsched.rxtouch.com/rbssched/program/wellness/Patient/Advisory" TargetMode="External"/><Relationship Id="rId282" Type="http://schemas.openxmlformats.org/officeDocument/2006/relationships/hyperlink" Target="https://www.riteaid.com/pharmacy/covid-qualifier" TargetMode="External"/><Relationship Id="rId8" Type="http://schemas.openxmlformats.org/officeDocument/2006/relationships/hyperlink" Target="https://www.walgreens.com/schedulevaccine" TargetMode="External"/><Relationship Id="rId51" Type="http://schemas.openxmlformats.org/officeDocument/2006/relationships/hyperlink" Target="https://walmart.com/covidvaccine" TargetMode="External"/><Relationship Id="rId72" Type="http://schemas.openxmlformats.org/officeDocument/2006/relationships/hyperlink" Target="https://walmart.com/covidvaccine" TargetMode="External"/><Relationship Id="rId93" Type="http://schemas.openxmlformats.org/officeDocument/2006/relationships/hyperlink" Target="https://www.walgreens.com/schedulevaccine" TargetMode="External"/><Relationship Id="rId98" Type="http://schemas.openxmlformats.org/officeDocument/2006/relationships/hyperlink" Target="https://www.cvs.com/immunizations/covid-19-vaccine" TargetMode="External"/><Relationship Id="rId121" Type="http://schemas.openxmlformats.org/officeDocument/2006/relationships/hyperlink" Target="https://walmart.com/covidvaccine" TargetMode="External"/><Relationship Id="rId142" Type="http://schemas.openxmlformats.org/officeDocument/2006/relationships/hyperlink" Target="https://www.weismarkets.com/pharmacy-services" TargetMode="External"/><Relationship Id="rId163" Type="http://schemas.openxmlformats.org/officeDocument/2006/relationships/hyperlink" Target="https://www.weismarkets.com/pharmacy-services" TargetMode="External"/><Relationship Id="rId184" Type="http://schemas.openxmlformats.org/officeDocument/2006/relationships/hyperlink" Target="https://www.chesterriverpharmacy.com/" TargetMode="External"/><Relationship Id="rId189" Type="http://schemas.openxmlformats.org/officeDocument/2006/relationships/hyperlink" Target="https://www.walgreens.com/schedulevaccine" TargetMode="External"/><Relationship Id="rId219" Type="http://schemas.openxmlformats.org/officeDocument/2006/relationships/hyperlink" Target="https://www.cvs.com/immunizations/covid-19-vaccine" TargetMode="External"/><Relationship Id="rId3" Type="http://schemas.openxmlformats.org/officeDocument/2006/relationships/hyperlink" Target="https://giantfoodsched.rxtouch.com/rbssched/program/wellness/Patient/Advisory" TargetMode="External"/><Relationship Id="rId214" Type="http://schemas.openxmlformats.org/officeDocument/2006/relationships/hyperlink" Target="https://www.samsclub.com/pharmacy" TargetMode="External"/><Relationship Id="rId230" Type="http://schemas.openxmlformats.org/officeDocument/2006/relationships/hyperlink" Target="https://midtownpharmacyllc.com/" TargetMode="External"/><Relationship Id="rId235" Type="http://schemas.openxmlformats.org/officeDocument/2006/relationships/hyperlink" Target="https://giantfoodsched.rxtouch.com/rbssched/program/wellness/Patient/Advisory" TargetMode="External"/><Relationship Id="rId251" Type="http://schemas.openxmlformats.org/officeDocument/2006/relationships/hyperlink" Target="https://www.wegmans.com/covid-vaccine-registration/" TargetMode="External"/><Relationship Id="rId256" Type="http://schemas.openxmlformats.org/officeDocument/2006/relationships/hyperlink" Target="https://mainstreetrx.timetap.com/" TargetMode="External"/><Relationship Id="rId277" Type="http://schemas.openxmlformats.org/officeDocument/2006/relationships/hyperlink" Target="https://www.weismarkets.com/pharmacy-services" TargetMode="External"/><Relationship Id="rId25" Type="http://schemas.openxmlformats.org/officeDocument/2006/relationships/hyperlink" Target="https://www.samsclub.com/pharmacy" TargetMode="External"/><Relationship Id="rId46" Type="http://schemas.openxmlformats.org/officeDocument/2006/relationships/hyperlink" Target="https://www.walgreens.com/schedulevaccine" TargetMode="External"/><Relationship Id="rId67" Type="http://schemas.openxmlformats.org/officeDocument/2006/relationships/hyperlink" Target="https://giantfoodsched.rxtouch.com/rbssched/program/wellness/Patient/Advisory" TargetMode="External"/><Relationship Id="rId116" Type="http://schemas.openxmlformats.org/officeDocument/2006/relationships/hyperlink" Target="https://walmart.com/covidvaccine" TargetMode="External"/><Relationship Id="rId137" Type="http://schemas.openxmlformats.org/officeDocument/2006/relationships/hyperlink" Target="https://www.riteaid.com/pharmacy/covid-qualifier" TargetMode="External"/><Relationship Id="rId158" Type="http://schemas.openxmlformats.org/officeDocument/2006/relationships/hyperlink" Target="https://www.walgreens.com/schedulevaccine" TargetMode="External"/><Relationship Id="rId272" Type="http://schemas.openxmlformats.org/officeDocument/2006/relationships/hyperlink" Target="https://hipaa.jotform.com/210769181190153" TargetMode="External"/><Relationship Id="rId20" Type="http://schemas.openxmlformats.org/officeDocument/2006/relationships/hyperlink" Target="https://giantfoodsched.rxtouch.com/rbssched/program/wellness/Patient/Advisory" TargetMode="External"/><Relationship Id="rId41" Type="http://schemas.openxmlformats.org/officeDocument/2006/relationships/hyperlink" Target="https://www.walgreens.com/schedulevaccine" TargetMode="External"/><Relationship Id="rId62" Type="http://schemas.openxmlformats.org/officeDocument/2006/relationships/hyperlink" Target="https://www.weismarkets.com/pharmacy-services" TargetMode="External"/><Relationship Id="rId83" Type="http://schemas.openxmlformats.org/officeDocument/2006/relationships/hyperlink" Target="https://www.cvs.com/immunizations/covid-19-vaccine" TargetMode="External"/><Relationship Id="rId88" Type="http://schemas.openxmlformats.org/officeDocument/2006/relationships/hyperlink" Target="https://www.propharmacyrx.net/covid-19-vaccines" TargetMode="External"/><Relationship Id="rId111" Type="http://schemas.openxmlformats.org/officeDocument/2006/relationships/hyperlink" Target="https://www.lusbypharmacyrx.com/" TargetMode="External"/><Relationship Id="rId132" Type="http://schemas.openxmlformats.org/officeDocument/2006/relationships/hyperlink" Target="https://walmart.com/covidvaccine" TargetMode="External"/><Relationship Id="rId153" Type="http://schemas.openxmlformats.org/officeDocument/2006/relationships/hyperlink" Target="https://www.cvs.com/immunizations/covid-19-vaccine" TargetMode="External"/><Relationship Id="rId174" Type="http://schemas.openxmlformats.org/officeDocument/2006/relationships/hyperlink" Target="https://giantfoodsched.rxtouch.com/rbssched/program/wellness/Patient/Advisory" TargetMode="External"/><Relationship Id="rId179" Type="http://schemas.openxmlformats.org/officeDocument/2006/relationships/hyperlink" Target="https://www.cvs.com/immunizations/covid-19-vaccine" TargetMode="External"/><Relationship Id="rId195" Type="http://schemas.openxmlformats.org/officeDocument/2006/relationships/hyperlink" Target="https://www.walgreens.com/schedulevaccine" TargetMode="External"/><Relationship Id="rId209" Type="http://schemas.openxmlformats.org/officeDocument/2006/relationships/hyperlink" Target="https://giantfoodsched.rxtouch.com/rbssched/program/wellness/Patient/Advisory" TargetMode="External"/><Relationship Id="rId190" Type="http://schemas.openxmlformats.org/officeDocument/2006/relationships/hyperlink" Target="https://www.walgreens.com/schedulevaccine" TargetMode="External"/><Relationship Id="rId204" Type="http://schemas.openxmlformats.org/officeDocument/2006/relationships/hyperlink" Target="https://www.safeway.com/covid-19" TargetMode="External"/><Relationship Id="rId220" Type="http://schemas.openxmlformats.org/officeDocument/2006/relationships/hyperlink" Target="https://www.cvs.com/immunizations/covid-19-vaccine" TargetMode="External"/><Relationship Id="rId225" Type="http://schemas.openxmlformats.org/officeDocument/2006/relationships/hyperlink" Target="https://www.procarebeautyandcosmetics.com/" TargetMode="External"/><Relationship Id="rId241" Type="http://schemas.openxmlformats.org/officeDocument/2006/relationships/hyperlink" Target="https://www.walgreens.com/schedulevaccine" TargetMode="External"/><Relationship Id="rId246" Type="http://schemas.openxmlformats.org/officeDocument/2006/relationships/hyperlink" Target="https://k8j5m.app.goo.gl/KDXy" TargetMode="External"/><Relationship Id="rId267" Type="http://schemas.openxmlformats.org/officeDocument/2006/relationships/hyperlink" Target="https://www.walgreens.com/schedulevaccine" TargetMode="External"/><Relationship Id="rId288" Type="http://schemas.openxmlformats.org/officeDocument/2006/relationships/hyperlink" Target="https://www.cvs.com/immunizations/covid-19-vaccine" TargetMode="External"/><Relationship Id="rId15" Type="http://schemas.openxmlformats.org/officeDocument/2006/relationships/hyperlink" Target="https://www.jaipharmacy.com/" TargetMode="External"/><Relationship Id="rId36" Type="http://schemas.openxmlformats.org/officeDocument/2006/relationships/hyperlink" Target="https://giantfoodsched.rxtouch.com/rbssched/program/wellness/Patient/Advisory" TargetMode="External"/><Relationship Id="rId57" Type="http://schemas.openxmlformats.org/officeDocument/2006/relationships/hyperlink" Target="https://walmart.com/covidvaccine" TargetMode="External"/><Relationship Id="rId106" Type="http://schemas.openxmlformats.org/officeDocument/2006/relationships/hyperlink" Target="https://www.walgreens.com/schedulevaccine" TargetMode="External"/><Relationship Id="rId127" Type="http://schemas.openxmlformats.org/officeDocument/2006/relationships/hyperlink" Target="https://giantfoodsched.rxtouch.com/rbssched/program/wellness/Patient/Advisory" TargetMode="External"/><Relationship Id="rId262" Type="http://schemas.openxmlformats.org/officeDocument/2006/relationships/hyperlink" Target="https://www.riteaid.com/pharmacy/covid-qualifier" TargetMode="External"/><Relationship Id="rId283" Type="http://schemas.openxmlformats.org/officeDocument/2006/relationships/hyperlink" Target="https://www.riteaid.com/pharmacy/covid-qualifier" TargetMode="External"/><Relationship Id="rId10" Type="http://schemas.openxmlformats.org/officeDocument/2006/relationships/hyperlink" Target="https://www.walgreens.com/schedulevaccine" TargetMode="External"/><Relationship Id="rId31" Type="http://schemas.openxmlformats.org/officeDocument/2006/relationships/hyperlink" Target="https://www.cvs.com/immunizations/covid-19-vaccine" TargetMode="External"/><Relationship Id="rId52" Type="http://schemas.openxmlformats.org/officeDocument/2006/relationships/hyperlink" Target="https://walmart.com/covidvaccine" TargetMode="External"/><Relationship Id="rId73" Type="http://schemas.openxmlformats.org/officeDocument/2006/relationships/hyperlink" Target="https://walmart.com/covidvaccine" TargetMode="External"/><Relationship Id="rId78" Type="http://schemas.openxmlformats.org/officeDocument/2006/relationships/hyperlink" Target="https://www.baltimorehighlandspharmacy.com/" TargetMode="External"/><Relationship Id="rId94" Type="http://schemas.openxmlformats.org/officeDocument/2006/relationships/hyperlink" Target="https://www.walgreens.com/schedulevaccine" TargetMode="External"/><Relationship Id="rId99" Type="http://schemas.openxmlformats.org/officeDocument/2006/relationships/hyperlink" Target="https://www.safeway.com/covid-19" TargetMode="External"/><Relationship Id="rId101" Type="http://schemas.openxmlformats.org/officeDocument/2006/relationships/hyperlink" Target="https://www.riteaid.com/pharmacy/covid-qualifier" TargetMode="External"/><Relationship Id="rId122" Type="http://schemas.openxmlformats.org/officeDocument/2006/relationships/hyperlink" Target="https://www.weismarkets.com/pharmacy-services" TargetMode="External"/><Relationship Id="rId143" Type="http://schemas.openxmlformats.org/officeDocument/2006/relationships/hyperlink" Target="https://www.weismarkets.com/pharmacy-services" TargetMode="External"/><Relationship Id="rId148" Type="http://schemas.openxmlformats.org/officeDocument/2006/relationships/hyperlink" Target="https://walmart.com/covidvaccine" TargetMode="External"/><Relationship Id="rId164" Type="http://schemas.openxmlformats.org/officeDocument/2006/relationships/hyperlink" Target="https://www.weismarkets.com/pharmacy-services" TargetMode="External"/><Relationship Id="rId169" Type="http://schemas.openxmlformats.org/officeDocument/2006/relationships/hyperlink" Target="https://www.walgreens.com/schedulevaccine" TargetMode="External"/><Relationship Id="rId185" Type="http://schemas.openxmlformats.org/officeDocument/2006/relationships/hyperlink" Target="https://www.chesterriverpharmacy.com/coronavirus" TargetMode="External"/><Relationship Id="rId4" Type="http://schemas.openxmlformats.org/officeDocument/2006/relationships/hyperlink" Target="https://giantfoodsched.rxtouch.com/rbssched/program/wellness/Patient/Advisory" TargetMode="External"/><Relationship Id="rId9" Type="http://schemas.openxmlformats.org/officeDocument/2006/relationships/hyperlink" Target="https://www.walgreens.com/schedulevaccine" TargetMode="External"/><Relationship Id="rId180" Type="http://schemas.openxmlformats.org/officeDocument/2006/relationships/hyperlink" Target="https://www.cvs.com/immunizations/covid-19-vaccine" TargetMode="External"/><Relationship Id="rId210" Type="http://schemas.openxmlformats.org/officeDocument/2006/relationships/hyperlink" Target="https://giantfoodsched.rxtouch.com/rbssched/program/wellness/Patient/Advisory" TargetMode="External"/><Relationship Id="rId215" Type="http://schemas.openxmlformats.org/officeDocument/2006/relationships/hyperlink" Target="https://greenpharmacyonline.com/" TargetMode="External"/><Relationship Id="rId236" Type="http://schemas.openxmlformats.org/officeDocument/2006/relationships/hyperlink" Target="https://mhealthsystem.com/covid2795" TargetMode="External"/><Relationship Id="rId257" Type="http://schemas.openxmlformats.org/officeDocument/2006/relationships/hyperlink" Target="https://www.cvs.com/immunizations/covid-19-vaccine" TargetMode="External"/><Relationship Id="rId278" Type="http://schemas.openxmlformats.org/officeDocument/2006/relationships/hyperlink" Target="https://www.cvs.com/immunizations/covid-19-vaccine" TargetMode="External"/><Relationship Id="rId26" Type="http://schemas.openxmlformats.org/officeDocument/2006/relationships/hyperlink" Target="https://www.soleilpharmacy.com/" TargetMode="External"/><Relationship Id="rId231" Type="http://schemas.openxmlformats.org/officeDocument/2006/relationships/hyperlink" Target="https://midtownpharmacyllc.com/covid-19-vaccination/" TargetMode="External"/><Relationship Id="rId252" Type="http://schemas.openxmlformats.org/officeDocument/2006/relationships/hyperlink" Target="https://giantfoodsched.rxtouch.com/rbssched/program/wellness/Patient/Advisory" TargetMode="External"/><Relationship Id="rId273" Type="http://schemas.openxmlformats.org/officeDocument/2006/relationships/hyperlink" Target="https://www.weismarkets.com/pharmacy-services" TargetMode="External"/><Relationship Id="rId47" Type="http://schemas.openxmlformats.org/officeDocument/2006/relationships/hyperlink" Target="https://www.walgreens.com/schedulevaccine" TargetMode="External"/><Relationship Id="rId68" Type="http://schemas.openxmlformats.org/officeDocument/2006/relationships/hyperlink" Target="https://giantfoodsched.rxtouch.com/rbssched/program/wellness/Patient/Advisory" TargetMode="External"/><Relationship Id="rId89" Type="http://schemas.openxmlformats.org/officeDocument/2006/relationships/hyperlink" Target="https://www.weismarkets.com/pharmacy-services" TargetMode="External"/><Relationship Id="rId112" Type="http://schemas.openxmlformats.org/officeDocument/2006/relationships/hyperlink" Target="https://scheduling.bestrxconnect.com/Covid19" TargetMode="External"/><Relationship Id="rId133" Type="http://schemas.openxmlformats.org/officeDocument/2006/relationships/hyperlink" Target="https://www.cvs.com/immunizations/covid-19-vaccine" TargetMode="External"/><Relationship Id="rId154" Type="http://schemas.openxmlformats.org/officeDocument/2006/relationships/hyperlink" Target="https://www.weismarkets.com/pharmacy-services" TargetMode="External"/><Relationship Id="rId175" Type="http://schemas.openxmlformats.org/officeDocument/2006/relationships/hyperlink" Target="https://www.weismarkets.com/pharmacy-services" TargetMode="External"/><Relationship Id="rId196" Type="http://schemas.openxmlformats.org/officeDocument/2006/relationships/hyperlink" Target="https://www.cvs.com/immunizations/covid-19-vaccine" TargetMode="External"/><Relationship Id="rId200" Type="http://schemas.openxmlformats.org/officeDocument/2006/relationships/hyperlink" Target="https://www.safeway.com/covid-19" TargetMode="External"/><Relationship Id="rId16" Type="http://schemas.openxmlformats.org/officeDocument/2006/relationships/hyperlink" Target="https://walmart.com/covidvaccine" TargetMode="External"/><Relationship Id="rId221" Type="http://schemas.openxmlformats.org/officeDocument/2006/relationships/hyperlink" Target="https://www.cvs.com/immunizations/covid-19-vaccine" TargetMode="External"/><Relationship Id="rId242" Type="http://schemas.openxmlformats.org/officeDocument/2006/relationships/hyperlink" Target="https://www.cvs.com/immunizations/covid-19-vaccine" TargetMode="External"/><Relationship Id="rId263" Type="http://schemas.openxmlformats.org/officeDocument/2006/relationships/hyperlink" Target="https://www.weismarkets.com/pharmacy-services" TargetMode="External"/><Relationship Id="rId284" Type="http://schemas.openxmlformats.org/officeDocument/2006/relationships/hyperlink" Target="https://www.pembertonpharmacy.com/" TargetMode="External"/><Relationship Id="rId37" Type="http://schemas.openxmlformats.org/officeDocument/2006/relationships/hyperlink" Target="https://giantfoodsched.rxtouch.com/rbssched/program/wellness/Patient/Advisory" TargetMode="External"/><Relationship Id="rId58" Type="http://schemas.openxmlformats.org/officeDocument/2006/relationships/hyperlink" Target="https://www.weismarkets.com/pharmacy-services" TargetMode="External"/><Relationship Id="rId79" Type="http://schemas.openxmlformats.org/officeDocument/2006/relationships/hyperlink" Target="https://bookacovidvaccine.com/baltimore-highlands-pharmacy/" TargetMode="External"/><Relationship Id="rId102" Type="http://schemas.openxmlformats.org/officeDocument/2006/relationships/hyperlink" Target="https://www.cvs.com/immunizations/covid-19-vaccine" TargetMode="External"/><Relationship Id="rId123" Type="http://schemas.openxmlformats.org/officeDocument/2006/relationships/hyperlink" Target="https://www.familypharmacyofhampstead.com/" TargetMode="External"/><Relationship Id="rId144" Type="http://schemas.openxmlformats.org/officeDocument/2006/relationships/hyperlink" Target="https://www.weismarkets.com/pharmacy-services" TargetMode="External"/><Relationship Id="rId90" Type="http://schemas.openxmlformats.org/officeDocument/2006/relationships/hyperlink" Target="https://www.weismarkets.com/pharmacy-services" TargetMode="External"/><Relationship Id="rId165" Type="http://schemas.openxmlformats.org/officeDocument/2006/relationships/hyperlink" Target="https://www.wegmans.com/covid-vaccine-registration/" TargetMode="External"/><Relationship Id="rId186" Type="http://schemas.openxmlformats.org/officeDocument/2006/relationships/hyperlink" Target="https://giantfoodsched.rxtouch.com/rbssched/program/wellness/Patient/Advisory" TargetMode="External"/><Relationship Id="rId211" Type="http://schemas.openxmlformats.org/officeDocument/2006/relationships/hyperlink" Target="https://giantfoodsched.rxtouch.com/rbssched/program/wellness/Patient/Advisory" TargetMode="External"/><Relationship Id="rId232" Type="http://schemas.openxmlformats.org/officeDocument/2006/relationships/hyperlink" Target="https://giantfoodsched.rxtouch.com/rbssched/program/wellness/Patient/Advisory" TargetMode="External"/><Relationship Id="rId253" Type="http://schemas.openxmlformats.org/officeDocument/2006/relationships/hyperlink" Target="https://www.cvs.com/immunizations/covid-19-vaccine" TargetMode="External"/><Relationship Id="rId274" Type="http://schemas.openxmlformats.org/officeDocument/2006/relationships/hyperlink" Target="https://www.weismarkets.com/pharmacy-services" TargetMode="External"/><Relationship Id="rId27" Type="http://schemas.openxmlformats.org/officeDocument/2006/relationships/hyperlink" Target="https://soleilpharmacy.com/covid-19-status-update/" TargetMode="External"/><Relationship Id="rId48" Type="http://schemas.openxmlformats.org/officeDocument/2006/relationships/hyperlink" Target="https://www.walgreens.com/schedulevaccine" TargetMode="External"/><Relationship Id="rId69" Type="http://schemas.openxmlformats.org/officeDocument/2006/relationships/hyperlink" Target="https://walmart.com/covidvaccine" TargetMode="External"/><Relationship Id="rId113" Type="http://schemas.openxmlformats.org/officeDocument/2006/relationships/hyperlink" Target="https://walmart.com/covidvaccine" TargetMode="External"/><Relationship Id="rId134" Type="http://schemas.openxmlformats.org/officeDocument/2006/relationships/hyperlink" Target="https://www.cvs.com/immunizations/covid-19-vaccine" TargetMode="External"/><Relationship Id="rId80" Type="http://schemas.openxmlformats.org/officeDocument/2006/relationships/hyperlink" Target="https://www.professionalpharmacyrosedale.com/" TargetMode="External"/><Relationship Id="rId155" Type="http://schemas.openxmlformats.org/officeDocument/2006/relationships/hyperlink" Target="https://walmart.com/covidvaccine" TargetMode="External"/><Relationship Id="rId176" Type="http://schemas.openxmlformats.org/officeDocument/2006/relationships/hyperlink" Target="https://www.weismarkets.com/pharmacy-services" TargetMode="External"/><Relationship Id="rId197" Type="http://schemas.openxmlformats.org/officeDocument/2006/relationships/hyperlink" Target="https://www.cvs.com/immunizations/covid-19-vaccine" TargetMode="External"/><Relationship Id="rId201" Type="http://schemas.openxmlformats.org/officeDocument/2006/relationships/hyperlink" Target="https://www.safeway.com/covid-19" TargetMode="External"/><Relationship Id="rId222" Type="http://schemas.openxmlformats.org/officeDocument/2006/relationships/hyperlink" Target="https://www.cvs.com/immunizations/covid-19-vaccine" TargetMode="External"/><Relationship Id="rId243" Type="http://schemas.openxmlformats.org/officeDocument/2006/relationships/hyperlink" Target="https://www.cvs.com/immunizations/covid-19-vaccine" TargetMode="External"/><Relationship Id="rId264" Type="http://schemas.openxmlformats.org/officeDocument/2006/relationships/hyperlink" Target="https://walmart.com/covidvaccine" TargetMode="External"/><Relationship Id="rId285" Type="http://schemas.openxmlformats.org/officeDocument/2006/relationships/hyperlink" Target="https://app.acuityscheduling.com/schedule.php?owner=21644418&amp;appointmentType=19446458" TargetMode="External"/><Relationship Id="rId17" Type="http://schemas.openxmlformats.org/officeDocument/2006/relationships/hyperlink" Target="https://www.weismarkets.com/pharmacy-services" TargetMode="External"/><Relationship Id="rId38" Type="http://schemas.openxmlformats.org/officeDocument/2006/relationships/hyperlink" Target="https://www.walgreens.com/schedulevaccine" TargetMode="External"/><Relationship Id="rId59" Type="http://schemas.openxmlformats.org/officeDocument/2006/relationships/hyperlink" Target="https://www.weismarkets.com/pharmacy-services" TargetMode="External"/><Relationship Id="rId103" Type="http://schemas.openxmlformats.org/officeDocument/2006/relationships/hyperlink" Target="https://www.harristeeterpharmacy.com/rx/covid-eligibility" TargetMode="External"/><Relationship Id="rId124" Type="http://schemas.openxmlformats.org/officeDocument/2006/relationships/hyperlink" Target="https://walmart.com/covidvaccine" TargetMode="External"/><Relationship Id="rId70" Type="http://schemas.openxmlformats.org/officeDocument/2006/relationships/hyperlink" Target="https://walmart.com/covidvaccine" TargetMode="External"/><Relationship Id="rId91" Type="http://schemas.openxmlformats.org/officeDocument/2006/relationships/hyperlink" Target="https://www.riteaid.com/pharmacy/covid-qualifier" TargetMode="External"/><Relationship Id="rId145" Type="http://schemas.openxmlformats.org/officeDocument/2006/relationships/hyperlink" Target="https://www.weismarkets.com/pharmacy-services" TargetMode="External"/><Relationship Id="rId166" Type="http://schemas.openxmlformats.org/officeDocument/2006/relationships/hyperlink" Target="https://walmart.com/covidvaccine" TargetMode="External"/><Relationship Id="rId187" Type="http://schemas.openxmlformats.org/officeDocument/2006/relationships/hyperlink" Target="https://giantfoodsched.rxtouch.com/rbssched/program/wellness/Patient/Advisory" TargetMode="External"/><Relationship Id="rId1" Type="http://schemas.openxmlformats.org/officeDocument/2006/relationships/hyperlink" Target="https://www.walgreens.com/schedulevaccine" TargetMode="External"/><Relationship Id="rId212" Type="http://schemas.openxmlformats.org/officeDocument/2006/relationships/hyperlink" Target="https://giantfoodsched.rxtouch.com/rbssched/program/wellness/Patient/Advisory" TargetMode="External"/><Relationship Id="rId233" Type="http://schemas.openxmlformats.org/officeDocument/2006/relationships/hyperlink" Target="https://giantfoodsched.rxtouch.com/rbssched/program/wellness/Patient/Advisory" TargetMode="External"/><Relationship Id="rId254" Type="http://schemas.openxmlformats.org/officeDocument/2006/relationships/hyperlink" Target="https://www.cvs.com/immunizations/covid-19-vaccine" TargetMode="External"/><Relationship Id="rId28" Type="http://schemas.openxmlformats.org/officeDocument/2006/relationships/hyperlink" Target="https://www.cvs.com/immunizations/covid-19-vaccine" TargetMode="External"/><Relationship Id="rId49" Type="http://schemas.openxmlformats.org/officeDocument/2006/relationships/hyperlink" Target="https://www.walgreens.com/schedulevaccine" TargetMode="External"/><Relationship Id="rId114" Type="http://schemas.openxmlformats.org/officeDocument/2006/relationships/hyperlink" Target="https://www.walgreens.com/schedulevaccine" TargetMode="External"/><Relationship Id="rId275" Type="http://schemas.openxmlformats.org/officeDocument/2006/relationships/hyperlink" Target="https://www.samsclub.com/pharmacy" TargetMode="External"/><Relationship Id="rId60" Type="http://schemas.openxmlformats.org/officeDocument/2006/relationships/hyperlink" Target="https://www.weismarkets.com/pharmacy-services" TargetMode="External"/><Relationship Id="rId81" Type="http://schemas.openxmlformats.org/officeDocument/2006/relationships/hyperlink" Target="https://www.cvs.com/immunizations/covid-19-vaccine" TargetMode="External"/><Relationship Id="rId135" Type="http://schemas.openxmlformats.org/officeDocument/2006/relationships/hyperlink" Target="https://walmart.com/covidvaccine" TargetMode="External"/><Relationship Id="rId156" Type="http://schemas.openxmlformats.org/officeDocument/2006/relationships/hyperlink" Target="https://www.walgreens.com/schedulevaccine" TargetMode="External"/><Relationship Id="rId177" Type="http://schemas.openxmlformats.org/officeDocument/2006/relationships/hyperlink" Target="https://www.wegmans.com/covid-vaccine-registration/" TargetMode="External"/><Relationship Id="rId198" Type="http://schemas.openxmlformats.org/officeDocument/2006/relationships/hyperlink" Target="https://www.cvs.com/immunizations/covid-19-vaccine" TargetMode="External"/><Relationship Id="rId202" Type="http://schemas.openxmlformats.org/officeDocument/2006/relationships/hyperlink" Target="https://www.safeway.com/covid-19" TargetMode="External"/><Relationship Id="rId223" Type="http://schemas.openxmlformats.org/officeDocument/2006/relationships/hyperlink" Target="https://www.cvs.com/immunizations/covid-19-vaccine" TargetMode="External"/><Relationship Id="rId244" Type="http://schemas.openxmlformats.org/officeDocument/2006/relationships/hyperlink" Target="https://www.safeway.com/covid-19" TargetMode="External"/><Relationship Id="rId18" Type="http://schemas.openxmlformats.org/officeDocument/2006/relationships/hyperlink" Target="https://www.wegmans.com/covid-vaccine-registration/" TargetMode="External"/><Relationship Id="rId39" Type="http://schemas.openxmlformats.org/officeDocument/2006/relationships/hyperlink" Target="https://www.walgreens.com/schedulevaccine" TargetMode="External"/><Relationship Id="rId265" Type="http://schemas.openxmlformats.org/officeDocument/2006/relationships/hyperlink" Target="https://www.cvs.com/immunizations/covid-19-vaccine" TargetMode="External"/><Relationship Id="rId286" Type="http://schemas.openxmlformats.org/officeDocument/2006/relationships/hyperlink" Target="https://walmart.com/covidvacc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T290"/>
  <sheetViews>
    <sheetView tabSelected="1" topLeftCell="A193" workbookViewId="0">
      <selection activeCell="C219" sqref="C219"/>
    </sheetView>
  </sheetViews>
  <sheetFormatPr defaultColWidth="14.453125" defaultRowHeight="15.75" customHeight="1" x14ac:dyDescent="0.6"/>
  <cols>
    <col min="1" max="1" width="13.76953125" bestFit="1" customWidth="1"/>
    <col min="2" max="2" width="14" bestFit="1" customWidth="1"/>
    <col min="3" max="3" width="48.08984375" bestFit="1" customWidth="1"/>
    <col min="4" max="4" width="54.2265625" bestFit="1" customWidth="1"/>
    <col min="5" max="5" width="11.86328125" bestFit="1" customWidth="1"/>
    <col min="6" max="6" width="16.453125" bestFit="1" customWidth="1"/>
    <col min="7" max="7" width="39.86328125" bestFit="1" customWidth="1"/>
    <col min="8" max="8" width="45.2265625" bestFit="1" customWidth="1"/>
    <col min="9" max="9" width="78.2265625" bestFit="1" customWidth="1"/>
    <col min="10" max="10" width="16.6796875" bestFit="1" customWidth="1"/>
    <col min="11" max="11" width="22.54296875" bestFit="1" customWidth="1"/>
    <col min="12" max="12" width="21.76953125" bestFit="1" customWidth="1"/>
    <col min="13" max="13" width="41.6796875" bestFit="1" customWidth="1"/>
    <col min="14" max="14" width="69.2265625" bestFit="1" customWidth="1"/>
    <col min="15" max="15" width="21.6796875" bestFit="1" customWidth="1"/>
    <col min="16" max="16" width="8.2265625" bestFit="1" customWidth="1"/>
    <col min="17" max="17" width="14.2265625" bestFit="1" customWidth="1"/>
    <col min="18" max="18" width="17.2265625" bestFit="1" customWidth="1"/>
    <col min="19" max="19" width="13.86328125" bestFit="1" customWidth="1"/>
    <col min="20" max="20" width="15.86328125" bestFit="1" customWidth="1"/>
  </cols>
  <sheetData>
    <row r="1" spans="1:20" ht="15.75" customHeight="1" x14ac:dyDescent="0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4" t="s">
        <v>10</v>
      </c>
      <c r="L1" s="4" t="s">
        <v>11</v>
      </c>
      <c r="M1" s="3" t="s">
        <v>12</v>
      </c>
      <c r="N1" s="6" t="s">
        <v>13</v>
      </c>
      <c r="O1" s="3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ht="15.75" customHeight="1" x14ac:dyDescent="0.6">
      <c r="A2" s="1" t="str">
        <f ca="1">IFERROR(__xludf.DUMMYFUNCTION("query('Vaccination Sites - Update Here'!D2:BA1001, ""select AN, F, D, E,  G, I, J, K, M, N, P, Q, Y, AH, AS, AV, AX, AY, AZ, BA  where BA = 'Yes' and G = 'Yes' and I = 'Pharmacy' order by AN  Label D '' "")"),"Allegany")</f>
        <v>Allegany</v>
      </c>
      <c r="B2" s="1" t="str">
        <f ca="1">IFERROR(__xludf.DUMMYFUNCTION("""COMPUTED_VALUE"""),"Frostburg")</f>
        <v>Frostburg</v>
      </c>
      <c r="C2" s="1" t="str">
        <f ca="1">IFERROR(__xludf.DUMMYFUNCTION("""COMPUTED_VALUE"""),"Walgreens Frostburg")</f>
        <v>Walgreens Frostburg</v>
      </c>
      <c r="D2" s="1" t="str">
        <f ca="1">IFERROR(__xludf.DUMMYFUNCTION("""COMPUTED_VALUE"""),"101 Bishop Murphy Dr Frostburg MD 21532")</f>
        <v>101 Bishop Murphy Dr Frostburg MD 21532</v>
      </c>
      <c r="E2" s="1" t="str">
        <f ca="1">IFERROR(__xludf.DUMMYFUNCTION("""COMPUTED_VALUE"""),"Yes")</f>
        <v>Yes</v>
      </c>
      <c r="F2" s="1" t="str">
        <f ca="1">IFERROR(__xludf.DUMMYFUNCTION("""COMPUTED_VALUE"""),"Pharmacy")</f>
        <v>Pharmacy</v>
      </c>
      <c r="G2" s="1"/>
      <c r="H2" s="1"/>
      <c r="I2" s="2" t="str">
        <f ca="1">IFERROR(__xludf.DUMMYFUNCTION("""COMPUTED_VALUE"""),"https://www.walgreens.com/schedulevaccine")</f>
        <v>https://www.walgreens.com/schedulevaccine</v>
      </c>
      <c r="J2" s="1"/>
      <c r="K2" s="1" t="str">
        <f ca="1">IFERROR(__xludf.DUMMYFUNCTION("""COMPUTED_VALUE"""),"1-800-WALGREENS")</f>
        <v>1-800-WALGREENS</v>
      </c>
      <c r="L2" s="1"/>
      <c r="M2" s="1" t="str">
        <f ca="1">IFERROR(__xludf.DUMMYFUNCTION("""COMPUTED_VALUE"""),"Schedule an appointment using the button below")</f>
        <v>Schedule an appointment using the button below</v>
      </c>
      <c r="N2" s="1"/>
      <c r="O2" s="1" t="str">
        <f ca="1">IFERROR(__xludf.DUMMYFUNCTION("""COMPUTED_VALUE"""),"Yes")</f>
        <v>Yes</v>
      </c>
      <c r="P2" s="1" t="str">
        <f ca="1">IFERROR(__xludf.DUMMYFUNCTION("""COMPUTED_VALUE"""),"21532")</f>
        <v>21532</v>
      </c>
      <c r="Q2" s="1" t="str">
        <f ca="1">IFERROR(__xludf.DUMMYFUNCTION("""COMPUTED_VALUE"""),"Yes")</f>
        <v>Yes</v>
      </c>
      <c r="R2" s="1" t="str">
        <f ca="1">IFERROR(__xludf.DUMMYFUNCTION("""COMPUTED_VALUE"""),"No")</f>
        <v>No</v>
      </c>
      <c r="S2" s="1" t="str">
        <f ca="1">IFERROR(__xludf.DUMMYFUNCTION("""COMPUTED_VALUE"""),"No")</f>
        <v>No</v>
      </c>
      <c r="T2" s="1" t="str">
        <f ca="1">IFERROR(__xludf.DUMMYFUNCTION("""COMPUTED_VALUE"""),"Yes")</f>
        <v>Yes</v>
      </c>
    </row>
    <row r="3" spans="1:20" ht="15.75" customHeight="1" x14ac:dyDescent="0.6">
      <c r="A3" s="1" t="str">
        <f ca="1">IFERROR(__xludf.DUMMYFUNCTION("""COMPUTED_VALUE"""),"Allegany")</f>
        <v>Allegany</v>
      </c>
      <c r="B3" s="1" t="str">
        <f ca="1">IFERROR(__xludf.DUMMYFUNCTION("""COMPUTED_VALUE"""),"Lavale")</f>
        <v>Lavale</v>
      </c>
      <c r="C3" s="1" t="str">
        <f ca="1">IFERROR(__xludf.DUMMYFUNCTION("""COMPUTED_VALUE"""),"Walmart Lavale")</f>
        <v>Walmart Lavale</v>
      </c>
      <c r="D3" s="1" t="str">
        <f ca="1">IFERROR(__xludf.DUMMYFUNCTION("""COMPUTED_VALUE"""),"12500 Country Club Mall Rd Lavale MD 21502")</f>
        <v>12500 Country Club Mall Rd Lavale MD 21502</v>
      </c>
      <c r="E3" s="1" t="str">
        <f ca="1">IFERROR(__xludf.DUMMYFUNCTION("""COMPUTED_VALUE"""),"Yes")</f>
        <v>Yes</v>
      </c>
      <c r="F3" s="1" t="str">
        <f ca="1">IFERROR(__xludf.DUMMYFUNCTION("""COMPUTED_VALUE"""),"Pharmacy")</f>
        <v>Pharmacy</v>
      </c>
      <c r="G3" s="1"/>
      <c r="H3" s="1"/>
      <c r="I3" s="2" t="str">
        <f ca="1">IFERROR(__xludf.DUMMYFUNCTION("""COMPUTED_VALUE"""),"https://walmart.com/covidvaccine")</f>
        <v>https://walmart.com/covidvaccine</v>
      </c>
      <c r="J3" s="1"/>
      <c r="K3" s="1" t="str">
        <f ca="1">IFERROR(__xludf.DUMMYFUNCTION("""COMPUTED_VALUE"""),"301-729-5088")</f>
        <v>301-729-5088</v>
      </c>
      <c r="L3" s="1"/>
      <c r="M3" s="1" t="str">
        <f ca="1">IFERROR(__xludf.DUMMYFUNCTION("""COMPUTED_VALUE"""),"Schedule an appointment using the button below")</f>
        <v>Schedule an appointment using the button below</v>
      </c>
      <c r="N3" s="1"/>
      <c r="O3" s="1" t="str">
        <f ca="1">IFERROR(__xludf.DUMMYFUNCTION("""COMPUTED_VALUE"""),"Yes")</f>
        <v>Yes</v>
      </c>
      <c r="P3" s="1" t="str">
        <f ca="1">IFERROR(__xludf.DUMMYFUNCTION("""COMPUTED_VALUE"""),"21502")</f>
        <v>21502</v>
      </c>
      <c r="Q3" s="1" t="str">
        <f ca="1">IFERROR(__xludf.DUMMYFUNCTION("""COMPUTED_VALUE"""),"Yes")</f>
        <v>Yes</v>
      </c>
      <c r="R3" s="1" t="str">
        <f ca="1">IFERROR(__xludf.DUMMYFUNCTION("""COMPUTED_VALUE"""),"Yes")</f>
        <v>Yes</v>
      </c>
      <c r="S3" s="1" t="str">
        <f ca="1">IFERROR(__xludf.DUMMYFUNCTION("""COMPUTED_VALUE"""),"Yes")</f>
        <v>Yes</v>
      </c>
      <c r="T3" s="1" t="str">
        <f ca="1">IFERROR(__xludf.DUMMYFUNCTION("""COMPUTED_VALUE"""),"Yes")</f>
        <v>Yes</v>
      </c>
    </row>
    <row r="4" spans="1:20" ht="15.75" customHeight="1" x14ac:dyDescent="0.6">
      <c r="A4" s="1" t="str">
        <f ca="1">IFERROR(__xludf.DUMMYFUNCTION("""COMPUTED_VALUE"""),"Allegany")</f>
        <v>Allegany</v>
      </c>
      <c r="B4" s="1" t="str">
        <f ca="1">IFERROR(__xludf.DUMMYFUNCTION("""COMPUTED_VALUE"""),"Cumberland")</f>
        <v>Cumberland</v>
      </c>
      <c r="C4" s="1" t="str">
        <f ca="1">IFERROR(__xludf.DUMMYFUNCTION("""COMPUTED_VALUE"""),"Potomac Valley Pharmacy")</f>
        <v>Potomac Valley Pharmacy</v>
      </c>
      <c r="D4" s="1" t="str">
        <f ca="1">IFERROR(__xludf.DUMMYFUNCTION("""COMPUTED_VALUE"""),"501 N Center St, Cumberland MD 21502")</f>
        <v>501 N Center St, Cumberland MD 21502</v>
      </c>
      <c r="E4" s="1" t="str">
        <f ca="1">IFERROR(__xludf.DUMMYFUNCTION("""COMPUTED_VALUE"""),"Yes")</f>
        <v>Yes</v>
      </c>
      <c r="F4" s="1" t="str">
        <f ca="1">IFERROR(__xludf.DUMMYFUNCTION("""COMPUTED_VALUE"""),"Pharmacy")</f>
        <v>Pharmacy</v>
      </c>
      <c r="G4" s="1"/>
      <c r="H4" s="1"/>
      <c r="I4" s="1"/>
      <c r="J4" s="1"/>
      <c r="K4" s="1" t="str">
        <f ca="1">IFERROR(__xludf.DUMMYFUNCTION("""COMPUTED_VALUE"""),"301-722-2342")</f>
        <v>301-722-2342</v>
      </c>
      <c r="L4" s="1"/>
      <c r="M4" s="1" t="str">
        <f ca="1">IFERROR(__xludf.DUMMYFUNCTION("""COMPUTED_VALUE"""),"Contact the site to schedule an appointment")</f>
        <v>Contact the site to schedule an appointment</v>
      </c>
      <c r="N4" s="1"/>
      <c r="O4" s="1"/>
      <c r="P4" s="1" t="str">
        <f ca="1">IFERROR(__xludf.DUMMYFUNCTION("""COMPUTED_VALUE"""),"21502")</f>
        <v>21502</v>
      </c>
      <c r="Q4" s="1" t="str">
        <f ca="1">IFERROR(__xludf.DUMMYFUNCTION("""COMPUTED_VALUE"""),"No")</f>
        <v>No</v>
      </c>
      <c r="R4" s="1" t="str">
        <f ca="1">IFERROR(__xludf.DUMMYFUNCTION("""COMPUTED_VALUE"""),"Yes")</f>
        <v>Yes</v>
      </c>
      <c r="S4" s="1" t="str">
        <f ca="1">IFERROR(__xludf.DUMMYFUNCTION("""COMPUTED_VALUE"""),"Yes")</f>
        <v>Yes</v>
      </c>
      <c r="T4" s="1" t="str">
        <f ca="1">IFERROR(__xludf.DUMMYFUNCTION("""COMPUTED_VALUE"""),"Yes")</f>
        <v>Yes</v>
      </c>
    </row>
    <row r="5" spans="1:20" ht="15.75" customHeight="1" x14ac:dyDescent="0.6">
      <c r="A5" s="1" t="str">
        <f ca="1">IFERROR(__xludf.DUMMYFUNCTION("""COMPUTED_VALUE"""),"Anne Arundel")</f>
        <v>Anne Arundel</v>
      </c>
      <c r="B5" s="1" t="str">
        <f ca="1">IFERROR(__xludf.DUMMYFUNCTION("""COMPUTED_VALUE"""),"Annapolis")</f>
        <v>Annapolis</v>
      </c>
      <c r="C5" s="1" t="str">
        <f ca="1">IFERROR(__xludf.DUMMYFUNCTION("""COMPUTED_VALUE"""),"Giant Food Annapolis")</f>
        <v>Giant Food Annapolis</v>
      </c>
      <c r="D5" s="1" t="str">
        <f ca="1">IFERROR(__xludf.DUMMYFUNCTION("""COMPUTED_VALUE"""),"2323 Forest Drive Annapolis MD 21401")</f>
        <v>2323 Forest Drive Annapolis MD 21401</v>
      </c>
      <c r="E5" s="1" t="str">
        <f ca="1">IFERROR(__xludf.DUMMYFUNCTION("""COMPUTED_VALUE"""),"Yes")</f>
        <v>Yes</v>
      </c>
      <c r="F5" s="1" t="str">
        <f ca="1">IFERROR(__xludf.DUMMYFUNCTION("""COMPUTED_VALUE"""),"Pharmacy")</f>
        <v>Pharmacy</v>
      </c>
      <c r="G5" s="1"/>
      <c r="H5" s="1"/>
      <c r="I5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5" s="1"/>
      <c r="K5" s="1" t="str">
        <f ca="1">IFERROR(__xludf.DUMMYFUNCTION("""COMPUTED_VALUE"""),"410-224-2850")</f>
        <v>410-224-2850</v>
      </c>
      <c r="L5" s="1"/>
      <c r="M5" s="1" t="str">
        <f ca="1">IFERROR(__xludf.DUMMYFUNCTION("""COMPUTED_VALUE"""),"Schedule an appointment using the button below")</f>
        <v>Schedule an appointment using the button below</v>
      </c>
      <c r="N5" s="1"/>
      <c r="O5" s="1" t="str">
        <f ca="1">IFERROR(__xludf.DUMMYFUNCTION("""COMPUTED_VALUE"""),"Yes")</f>
        <v>Yes</v>
      </c>
      <c r="P5" s="1" t="str">
        <f ca="1">IFERROR(__xludf.DUMMYFUNCTION("""COMPUTED_VALUE"""),"21401")</f>
        <v>21401</v>
      </c>
      <c r="Q5" s="1" t="str">
        <f ca="1">IFERROR(__xludf.DUMMYFUNCTION("""COMPUTED_VALUE"""),"Yes")</f>
        <v>Yes</v>
      </c>
      <c r="R5" s="1" t="str">
        <f ca="1">IFERROR(__xludf.DUMMYFUNCTION("""COMPUTED_VALUE"""),"Yes")</f>
        <v>Yes</v>
      </c>
      <c r="S5" s="1" t="str">
        <f ca="1">IFERROR(__xludf.DUMMYFUNCTION("""COMPUTED_VALUE"""),"No")</f>
        <v>No</v>
      </c>
      <c r="T5" s="1" t="str">
        <f ca="1">IFERROR(__xludf.DUMMYFUNCTION("""COMPUTED_VALUE"""),"Yes")</f>
        <v>Yes</v>
      </c>
    </row>
    <row r="6" spans="1:20" ht="15.75" customHeight="1" x14ac:dyDescent="0.6">
      <c r="A6" s="1" t="str">
        <f ca="1">IFERROR(__xludf.DUMMYFUNCTION("""COMPUTED_VALUE"""),"Anne Arundel")</f>
        <v>Anne Arundel</v>
      </c>
      <c r="B6" s="1" t="str">
        <f ca="1">IFERROR(__xludf.DUMMYFUNCTION("""COMPUTED_VALUE"""),"Glen Burnie")</f>
        <v>Glen Burnie</v>
      </c>
      <c r="C6" s="1" t="str">
        <f ca="1">IFERROR(__xludf.DUMMYFUNCTION("""COMPUTED_VALUE"""),"Giant Food Glen Burnie")</f>
        <v>Giant Food Glen Burnie</v>
      </c>
      <c r="D6" s="1" t="str">
        <f ca="1">IFERROR(__xludf.DUMMYFUNCTION("""COMPUTED_VALUE"""),"6636 N. Ritchie  Highway Glen Burnie MD 21061")</f>
        <v>6636 N. Ritchie  Highway Glen Burnie MD 21061</v>
      </c>
      <c r="E6" s="1" t="str">
        <f ca="1">IFERROR(__xludf.DUMMYFUNCTION("""COMPUTED_VALUE"""),"Yes")</f>
        <v>Yes</v>
      </c>
      <c r="F6" s="1" t="str">
        <f ca="1">IFERROR(__xludf.DUMMYFUNCTION("""COMPUTED_VALUE"""),"Pharmacy")</f>
        <v>Pharmacy</v>
      </c>
      <c r="G6" s="1"/>
      <c r="H6" s="1"/>
      <c r="I6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6" s="1"/>
      <c r="K6" s="1" t="str">
        <f ca="1">IFERROR(__xludf.DUMMYFUNCTION("""COMPUTED_VALUE"""),"410-487-0111")</f>
        <v>410-487-0111</v>
      </c>
      <c r="L6" s="1"/>
      <c r="M6" s="1" t="str">
        <f ca="1">IFERROR(__xludf.DUMMYFUNCTION("""COMPUTED_VALUE"""),"Schedule an appointment using the button below")</f>
        <v>Schedule an appointment using the button below</v>
      </c>
      <c r="N6" s="1"/>
      <c r="O6" s="1" t="str">
        <f ca="1">IFERROR(__xludf.DUMMYFUNCTION("""COMPUTED_VALUE"""),"Yes")</f>
        <v>Yes</v>
      </c>
      <c r="P6" s="1" t="str">
        <f ca="1">IFERROR(__xludf.DUMMYFUNCTION("""COMPUTED_VALUE"""),"21061")</f>
        <v>21061</v>
      </c>
      <c r="Q6" s="1" t="str">
        <f ca="1">IFERROR(__xludf.DUMMYFUNCTION("""COMPUTED_VALUE"""),"Yes")</f>
        <v>Yes</v>
      </c>
      <c r="R6" s="1" t="str">
        <f ca="1">IFERROR(__xludf.DUMMYFUNCTION("""COMPUTED_VALUE"""),"Yes")</f>
        <v>Yes</v>
      </c>
      <c r="S6" s="1" t="str">
        <f ca="1">IFERROR(__xludf.DUMMYFUNCTION("""COMPUTED_VALUE"""),"No")</f>
        <v>No</v>
      </c>
      <c r="T6" s="1" t="str">
        <f ca="1">IFERROR(__xludf.DUMMYFUNCTION("""COMPUTED_VALUE"""),"Yes")</f>
        <v>Yes</v>
      </c>
    </row>
    <row r="7" spans="1:20" ht="15.75" customHeight="1" x14ac:dyDescent="0.6">
      <c r="A7" s="1" t="str">
        <f ca="1">IFERROR(__xludf.DUMMYFUNCTION("""COMPUTED_VALUE"""),"Anne Arundel")</f>
        <v>Anne Arundel</v>
      </c>
      <c r="B7" s="1" t="str">
        <f ca="1">IFERROR(__xludf.DUMMYFUNCTION("""COMPUTED_VALUE"""),"Glen Burnie")</f>
        <v>Glen Burnie</v>
      </c>
      <c r="C7" s="1" t="str">
        <f ca="1">IFERROR(__xludf.DUMMYFUNCTION("""COMPUTED_VALUE"""),"Walgreens Glen Burnie")</f>
        <v>Walgreens Glen Burnie</v>
      </c>
      <c r="D7" s="1" t="str">
        <f ca="1">IFERROR(__xludf.DUMMYFUNCTION("""COMPUTED_VALUE"""),"7901 Ritchie Hwy Glen Burnie MD 21061")</f>
        <v>7901 Ritchie Hwy Glen Burnie MD 21061</v>
      </c>
      <c r="E7" s="1" t="str">
        <f ca="1">IFERROR(__xludf.DUMMYFUNCTION("""COMPUTED_VALUE"""),"Yes")</f>
        <v>Yes</v>
      </c>
      <c r="F7" s="1" t="str">
        <f ca="1">IFERROR(__xludf.DUMMYFUNCTION("""COMPUTED_VALUE"""),"Pharmacy")</f>
        <v>Pharmacy</v>
      </c>
      <c r="G7" s="1"/>
      <c r="H7" s="1"/>
      <c r="I7" s="2" t="str">
        <f ca="1">IFERROR(__xludf.DUMMYFUNCTION("""COMPUTED_VALUE"""),"https://www.walgreens.com/schedulevaccine")</f>
        <v>https://www.walgreens.com/schedulevaccine</v>
      </c>
      <c r="J7" s="1"/>
      <c r="K7" s="1" t="str">
        <f ca="1">IFERROR(__xludf.DUMMYFUNCTION("""COMPUTED_VALUE"""),"1-800-WALGREENS")</f>
        <v>1-800-WALGREENS</v>
      </c>
      <c r="L7" s="1"/>
      <c r="M7" s="1" t="str">
        <f ca="1">IFERROR(__xludf.DUMMYFUNCTION("""COMPUTED_VALUE"""),"Schedule an appointment using the button below")</f>
        <v>Schedule an appointment using the button below</v>
      </c>
      <c r="N7" s="1"/>
      <c r="O7" s="1" t="str">
        <f ca="1">IFERROR(__xludf.DUMMYFUNCTION("""COMPUTED_VALUE"""),"Yes")</f>
        <v>Yes</v>
      </c>
      <c r="P7" s="1" t="str">
        <f ca="1">IFERROR(__xludf.DUMMYFUNCTION("""COMPUTED_VALUE"""),"21061")</f>
        <v>21061</v>
      </c>
      <c r="Q7" s="1" t="str">
        <f ca="1">IFERROR(__xludf.DUMMYFUNCTION("""COMPUTED_VALUE"""),"Yes")</f>
        <v>Yes</v>
      </c>
      <c r="R7" s="1" t="str">
        <f ca="1">IFERROR(__xludf.DUMMYFUNCTION("""COMPUTED_VALUE"""),"No")</f>
        <v>No</v>
      </c>
      <c r="S7" s="1" t="str">
        <f ca="1">IFERROR(__xludf.DUMMYFUNCTION("""COMPUTED_VALUE"""),"No")</f>
        <v>No</v>
      </c>
      <c r="T7" s="1" t="str">
        <f ca="1">IFERROR(__xludf.DUMMYFUNCTION("""COMPUTED_VALUE"""),"Yes")</f>
        <v>Yes</v>
      </c>
    </row>
    <row r="8" spans="1:20" ht="15.75" customHeight="1" x14ac:dyDescent="0.6">
      <c r="A8" s="1" t="str">
        <f ca="1">IFERROR(__xludf.DUMMYFUNCTION("""COMPUTED_VALUE"""),"Anne Arundel")</f>
        <v>Anne Arundel</v>
      </c>
      <c r="B8" s="1" t="str">
        <f ca="1">IFERROR(__xludf.DUMMYFUNCTION("""COMPUTED_VALUE"""),"Severn")</f>
        <v>Severn</v>
      </c>
      <c r="C8" s="1" t="str">
        <f ca="1">IFERROR(__xludf.DUMMYFUNCTION("""COMPUTED_VALUE"""),"Walgreens Severn")</f>
        <v>Walgreens Severn</v>
      </c>
      <c r="D8" s="1" t="str">
        <f ca="1">IFERROR(__xludf.DUMMYFUNCTION("""COMPUTED_VALUE"""),"403 George Claus Blvd Severn MD 21144")</f>
        <v>403 George Claus Blvd Severn MD 21144</v>
      </c>
      <c r="E8" s="1" t="str">
        <f ca="1">IFERROR(__xludf.DUMMYFUNCTION("""COMPUTED_VALUE"""),"Yes")</f>
        <v>Yes</v>
      </c>
      <c r="F8" s="1" t="str">
        <f ca="1">IFERROR(__xludf.DUMMYFUNCTION("""COMPUTED_VALUE"""),"Pharmacy")</f>
        <v>Pharmacy</v>
      </c>
      <c r="G8" s="1"/>
      <c r="H8" s="1"/>
      <c r="I8" s="2" t="str">
        <f ca="1">IFERROR(__xludf.DUMMYFUNCTION("""COMPUTED_VALUE"""),"https://www.walgreens.com/schedulevaccine")</f>
        <v>https://www.walgreens.com/schedulevaccine</v>
      </c>
      <c r="J8" s="1"/>
      <c r="K8" s="1" t="str">
        <f ca="1">IFERROR(__xludf.DUMMYFUNCTION("""COMPUTED_VALUE"""),"1-800-WALGREENS")</f>
        <v>1-800-WALGREENS</v>
      </c>
      <c r="L8" s="1"/>
      <c r="M8" s="1" t="str">
        <f ca="1">IFERROR(__xludf.DUMMYFUNCTION("""COMPUTED_VALUE"""),"Schedule an appointment using the button below")</f>
        <v>Schedule an appointment using the button below</v>
      </c>
      <c r="N8" s="1"/>
      <c r="O8" s="1" t="str">
        <f ca="1">IFERROR(__xludf.DUMMYFUNCTION("""COMPUTED_VALUE"""),"Yes")</f>
        <v>Yes</v>
      </c>
      <c r="P8" s="1" t="str">
        <f ca="1">IFERROR(__xludf.DUMMYFUNCTION("""COMPUTED_VALUE"""),"21144")</f>
        <v>21144</v>
      </c>
      <c r="Q8" s="1" t="str">
        <f ca="1">IFERROR(__xludf.DUMMYFUNCTION("""COMPUTED_VALUE"""),"Yes")</f>
        <v>Yes</v>
      </c>
      <c r="R8" s="1" t="str">
        <f ca="1">IFERROR(__xludf.DUMMYFUNCTION("""COMPUTED_VALUE"""),"No")</f>
        <v>No</v>
      </c>
      <c r="S8" s="1" t="str">
        <f ca="1">IFERROR(__xludf.DUMMYFUNCTION("""COMPUTED_VALUE"""),"No")</f>
        <v>No</v>
      </c>
      <c r="T8" s="1" t="str">
        <f ca="1">IFERROR(__xludf.DUMMYFUNCTION("""COMPUTED_VALUE"""),"Yes")</f>
        <v>Yes</v>
      </c>
    </row>
    <row r="9" spans="1:20" ht="15.75" customHeight="1" x14ac:dyDescent="0.6">
      <c r="A9" s="1" t="str">
        <f ca="1">IFERROR(__xludf.DUMMYFUNCTION("""COMPUTED_VALUE"""),"Anne Arundel")</f>
        <v>Anne Arundel</v>
      </c>
      <c r="B9" s="1" t="str">
        <f ca="1">IFERROR(__xludf.DUMMYFUNCTION("""COMPUTED_VALUE"""),"Brooklyn")</f>
        <v>Brooklyn</v>
      </c>
      <c r="C9" s="1" t="str">
        <f ca="1">IFERROR(__xludf.DUMMYFUNCTION("""COMPUTED_VALUE"""),"Walgreens Brooklyn")</f>
        <v>Walgreens Brooklyn</v>
      </c>
      <c r="D9" s="1" t="str">
        <f ca="1">IFERROR(__xludf.DUMMYFUNCTION("""COMPUTED_VALUE"""),"5740 Ritchie Hwy Brooklyn MD 21225")</f>
        <v>5740 Ritchie Hwy Brooklyn MD 21225</v>
      </c>
      <c r="E9" s="1" t="str">
        <f ca="1">IFERROR(__xludf.DUMMYFUNCTION("""COMPUTED_VALUE"""),"Yes")</f>
        <v>Yes</v>
      </c>
      <c r="F9" s="1" t="str">
        <f ca="1">IFERROR(__xludf.DUMMYFUNCTION("""COMPUTED_VALUE"""),"Pharmacy")</f>
        <v>Pharmacy</v>
      </c>
      <c r="G9" s="1"/>
      <c r="H9" s="1"/>
      <c r="I9" s="2" t="str">
        <f ca="1">IFERROR(__xludf.DUMMYFUNCTION("""COMPUTED_VALUE"""),"https://www.walgreens.com/schedulevaccine")</f>
        <v>https://www.walgreens.com/schedulevaccine</v>
      </c>
      <c r="J9" s="1"/>
      <c r="K9" s="1" t="str">
        <f ca="1">IFERROR(__xludf.DUMMYFUNCTION("""COMPUTED_VALUE"""),"1-800-WALGREENS")</f>
        <v>1-800-WALGREENS</v>
      </c>
      <c r="L9" s="1"/>
      <c r="M9" s="1" t="str">
        <f ca="1">IFERROR(__xludf.DUMMYFUNCTION("""COMPUTED_VALUE"""),"Schedule an appointment using the button below")</f>
        <v>Schedule an appointment using the button below</v>
      </c>
      <c r="N9" s="1"/>
      <c r="O9" s="1" t="str">
        <f ca="1">IFERROR(__xludf.DUMMYFUNCTION("""COMPUTED_VALUE"""),"Yes")</f>
        <v>Yes</v>
      </c>
      <c r="P9" s="1" t="str">
        <f ca="1">IFERROR(__xludf.DUMMYFUNCTION("""COMPUTED_VALUE"""),"21225")</f>
        <v>21225</v>
      </c>
      <c r="Q9" s="1" t="str">
        <f ca="1">IFERROR(__xludf.DUMMYFUNCTION("""COMPUTED_VALUE"""),"Yes")</f>
        <v>Yes</v>
      </c>
      <c r="R9" s="1" t="str">
        <f ca="1">IFERROR(__xludf.DUMMYFUNCTION("""COMPUTED_VALUE"""),"No")</f>
        <v>No</v>
      </c>
      <c r="S9" s="1" t="str">
        <f ca="1">IFERROR(__xludf.DUMMYFUNCTION("""COMPUTED_VALUE"""),"No")</f>
        <v>No</v>
      </c>
      <c r="T9" s="1" t="str">
        <f ca="1">IFERROR(__xludf.DUMMYFUNCTION("""COMPUTED_VALUE"""),"Yes")</f>
        <v>Yes</v>
      </c>
    </row>
    <row r="10" spans="1:20" ht="15.75" customHeight="1" x14ac:dyDescent="0.6">
      <c r="A10" s="1" t="str">
        <f ca="1">IFERROR(__xludf.DUMMYFUNCTION("""COMPUTED_VALUE"""),"Anne Arundel")</f>
        <v>Anne Arundel</v>
      </c>
      <c r="B10" s="1" t="str">
        <f ca="1">IFERROR(__xludf.DUMMYFUNCTION("""COMPUTED_VALUE"""),"Glen Burnie")</f>
        <v>Glen Burnie</v>
      </c>
      <c r="C10" s="1" t="str">
        <f ca="1">IFERROR(__xludf.DUMMYFUNCTION("""COMPUTED_VALUE"""),"Walgreens Glen Burnie")</f>
        <v>Walgreens Glen Burnie</v>
      </c>
      <c r="D10" s="1" t="str">
        <f ca="1">IFERROR(__xludf.DUMMYFUNCTION("""COMPUTED_VALUE"""),"7953 Crain Hwy S Glen Burnie MD 21061")</f>
        <v>7953 Crain Hwy S Glen Burnie MD 21061</v>
      </c>
      <c r="E10" s="1" t="str">
        <f ca="1">IFERROR(__xludf.DUMMYFUNCTION("""COMPUTED_VALUE"""),"Yes")</f>
        <v>Yes</v>
      </c>
      <c r="F10" s="1" t="str">
        <f ca="1">IFERROR(__xludf.DUMMYFUNCTION("""COMPUTED_VALUE"""),"Pharmacy")</f>
        <v>Pharmacy</v>
      </c>
      <c r="G10" s="1"/>
      <c r="H10" s="1"/>
      <c r="I10" s="2" t="str">
        <f ca="1">IFERROR(__xludf.DUMMYFUNCTION("""COMPUTED_VALUE"""),"https://www.walgreens.com/schedulevaccine")</f>
        <v>https://www.walgreens.com/schedulevaccine</v>
      </c>
      <c r="J10" s="1"/>
      <c r="K10" s="1" t="str">
        <f ca="1">IFERROR(__xludf.DUMMYFUNCTION("""COMPUTED_VALUE"""),"1-800-WALGREENS")</f>
        <v>1-800-WALGREENS</v>
      </c>
      <c r="L10" s="1"/>
      <c r="M10" s="1" t="str">
        <f ca="1">IFERROR(__xludf.DUMMYFUNCTION("""COMPUTED_VALUE"""),"Schedule an appointment using the button below")</f>
        <v>Schedule an appointment using the button below</v>
      </c>
      <c r="N10" s="1"/>
      <c r="O10" s="1" t="str">
        <f ca="1">IFERROR(__xludf.DUMMYFUNCTION("""COMPUTED_VALUE"""),"Yes")</f>
        <v>Yes</v>
      </c>
      <c r="P10" s="1" t="str">
        <f ca="1">IFERROR(__xludf.DUMMYFUNCTION("""COMPUTED_VALUE"""),"21061")</f>
        <v>21061</v>
      </c>
      <c r="Q10" s="1" t="str">
        <f ca="1">IFERROR(__xludf.DUMMYFUNCTION("""COMPUTED_VALUE"""),"Yes")</f>
        <v>Yes</v>
      </c>
      <c r="R10" s="1" t="str">
        <f ca="1">IFERROR(__xludf.DUMMYFUNCTION("""COMPUTED_VALUE"""),"No")</f>
        <v>No</v>
      </c>
      <c r="S10" s="1" t="str">
        <f ca="1">IFERROR(__xludf.DUMMYFUNCTION("""COMPUTED_VALUE"""),"No")</f>
        <v>No</v>
      </c>
      <c r="T10" s="1" t="str">
        <f ca="1">IFERROR(__xludf.DUMMYFUNCTION("""COMPUTED_VALUE"""),"Yes")</f>
        <v>Yes</v>
      </c>
    </row>
    <row r="11" spans="1:20" ht="15.75" customHeight="1" x14ac:dyDescent="0.6">
      <c r="A11" s="1" t="str">
        <f ca="1">IFERROR(__xludf.DUMMYFUNCTION("""COMPUTED_VALUE"""),"Anne Arundel")</f>
        <v>Anne Arundel</v>
      </c>
      <c r="B11" s="1" t="str">
        <f ca="1">IFERROR(__xludf.DUMMYFUNCTION("""COMPUTED_VALUE"""),"Annapolis")</f>
        <v>Annapolis</v>
      </c>
      <c r="C11" s="1" t="str">
        <f ca="1">IFERROR(__xludf.DUMMYFUNCTION("""COMPUTED_VALUE"""),"Walgreens Annapolis")</f>
        <v>Walgreens Annapolis</v>
      </c>
      <c r="D11" s="1" t="str">
        <f ca="1">IFERROR(__xludf.DUMMYFUNCTION("""COMPUTED_VALUE"""),"609 Taylor Rd Annapolis MD 21401")</f>
        <v>609 Taylor Rd Annapolis MD 21401</v>
      </c>
      <c r="E11" s="1" t="str">
        <f ca="1">IFERROR(__xludf.DUMMYFUNCTION("""COMPUTED_VALUE"""),"Yes")</f>
        <v>Yes</v>
      </c>
      <c r="F11" s="1" t="str">
        <f ca="1">IFERROR(__xludf.DUMMYFUNCTION("""COMPUTED_VALUE"""),"Pharmacy")</f>
        <v>Pharmacy</v>
      </c>
      <c r="G11" s="1"/>
      <c r="H11" s="1"/>
      <c r="I11" s="2" t="str">
        <f ca="1">IFERROR(__xludf.DUMMYFUNCTION("""COMPUTED_VALUE"""),"https://www.walgreens.com/schedulevaccine")</f>
        <v>https://www.walgreens.com/schedulevaccine</v>
      </c>
      <c r="J11" s="1"/>
      <c r="K11" s="1" t="str">
        <f ca="1">IFERROR(__xludf.DUMMYFUNCTION("""COMPUTED_VALUE"""),"1-800-WALGREENS")</f>
        <v>1-800-WALGREENS</v>
      </c>
      <c r="L11" s="1"/>
      <c r="M11" s="1" t="str">
        <f ca="1">IFERROR(__xludf.DUMMYFUNCTION("""COMPUTED_VALUE"""),"Schedule an appointment using the button below")</f>
        <v>Schedule an appointment using the button below</v>
      </c>
      <c r="N11" s="1"/>
      <c r="O11" s="1" t="str">
        <f ca="1">IFERROR(__xludf.DUMMYFUNCTION("""COMPUTED_VALUE"""),"Yes")</f>
        <v>Yes</v>
      </c>
      <c r="P11" s="1" t="str">
        <f ca="1">IFERROR(__xludf.DUMMYFUNCTION("""COMPUTED_VALUE"""),"21401")</f>
        <v>21401</v>
      </c>
      <c r="Q11" s="1" t="str">
        <f ca="1">IFERROR(__xludf.DUMMYFUNCTION("""COMPUTED_VALUE"""),"Yes")</f>
        <v>Yes</v>
      </c>
      <c r="R11" s="1" t="str">
        <f ca="1">IFERROR(__xludf.DUMMYFUNCTION("""COMPUTED_VALUE"""),"Yes")</f>
        <v>Yes</v>
      </c>
      <c r="S11" s="1" t="str">
        <f ca="1">IFERROR(__xludf.DUMMYFUNCTION("""COMPUTED_VALUE"""),"No")</f>
        <v>No</v>
      </c>
      <c r="T11" s="1" t="str">
        <f ca="1">IFERROR(__xludf.DUMMYFUNCTION("""COMPUTED_VALUE"""),"Yes")</f>
        <v>Yes</v>
      </c>
    </row>
    <row r="12" spans="1:20" ht="15.75" customHeight="1" x14ac:dyDescent="0.6">
      <c r="A12" s="1" t="str">
        <f ca="1">IFERROR(__xludf.DUMMYFUNCTION("""COMPUTED_VALUE"""),"Anne Arundel")</f>
        <v>Anne Arundel</v>
      </c>
      <c r="B12" s="1" t="str">
        <f ca="1">IFERROR(__xludf.DUMMYFUNCTION("""COMPUTED_VALUE"""),"Pasadena")</f>
        <v>Pasadena</v>
      </c>
      <c r="C12" s="1" t="str">
        <f ca="1">IFERROR(__xludf.DUMMYFUNCTION("""COMPUTED_VALUE"""),"Walgreens Pasadena")</f>
        <v>Walgreens Pasadena</v>
      </c>
      <c r="D12" s="1" t="str">
        <f ca="1">IFERROR(__xludf.DUMMYFUNCTION("""COMPUTED_VALUE"""),"8491 Fort Smallwood Road Pasadena MD 21122")</f>
        <v>8491 Fort Smallwood Road Pasadena MD 21122</v>
      </c>
      <c r="E12" s="1" t="str">
        <f ca="1">IFERROR(__xludf.DUMMYFUNCTION("""COMPUTED_VALUE"""),"Yes")</f>
        <v>Yes</v>
      </c>
      <c r="F12" s="1" t="str">
        <f ca="1">IFERROR(__xludf.DUMMYFUNCTION("""COMPUTED_VALUE"""),"Pharmacy")</f>
        <v>Pharmacy</v>
      </c>
      <c r="G12" s="1"/>
      <c r="H12" s="1"/>
      <c r="I12" s="2" t="str">
        <f ca="1">IFERROR(__xludf.DUMMYFUNCTION("""COMPUTED_VALUE"""),"https://www.walgreens.com/schedulevaccine")</f>
        <v>https://www.walgreens.com/schedulevaccine</v>
      </c>
      <c r="J12" s="1"/>
      <c r="K12" s="1" t="str">
        <f ca="1">IFERROR(__xludf.DUMMYFUNCTION("""COMPUTED_VALUE"""),"1-800-WALGREENS")</f>
        <v>1-800-WALGREENS</v>
      </c>
      <c r="L12" s="1"/>
      <c r="M12" s="1" t="str">
        <f ca="1">IFERROR(__xludf.DUMMYFUNCTION("""COMPUTED_VALUE"""),"Schedule an appointment using the button below")</f>
        <v>Schedule an appointment using the button below</v>
      </c>
      <c r="N12" s="1"/>
      <c r="O12" s="1" t="str">
        <f ca="1">IFERROR(__xludf.DUMMYFUNCTION("""COMPUTED_VALUE"""),"Yes")</f>
        <v>Yes</v>
      </c>
      <c r="P12" s="1" t="str">
        <f ca="1">IFERROR(__xludf.DUMMYFUNCTION("""COMPUTED_VALUE"""),"21122")</f>
        <v>21122</v>
      </c>
      <c r="Q12" s="1" t="str">
        <f ca="1">IFERROR(__xludf.DUMMYFUNCTION("""COMPUTED_VALUE"""),"Yes")</f>
        <v>Yes</v>
      </c>
      <c r="R12" s="1" t="str">
        <f ca="1">IFERROR(__xludf.DUMMYFUNCTION("""COMPUTED_VALUE"""),"No")</f>
        <v>No</v>
      </c>
      <c r="S12" s="1" t="str">
        <f ca="1">IFERROR(__xludf.DUMMYFUNCTION("""COMPUTED_VALUE"""),"No")</f>
        <v>No</v>
      </c>
      <c r="T12" s="1" t="str">
        <f ca="1">IFERROR(__xludf.DUMMYFUNCTION("""COMPUTED_VALUE"""),"Yes")</f>
        <v>Yes</v>
      </c>
    </row>
    <row r="13" spans="1:20" ht="15.75" customHeight="1" x14ac:dyDescent="0.6">
      <c r="A13" s="1" t="str">
        <f ca="1">IFERROR(__xludf.DUMMYFUNCTION("""COMPUTED_VALUE"""),"Anne Arundel")</f>
        <v>Anne Arundel</v>
      </c>
      <c r="B13" s="1" t="str">
        <f ca="1">IFERROR(__xludf.DUMMYFUNCTION("""COMPUTED_VALUE"""),"Gambrills")</f>
        <v>Gambrills</v>
      </c>
      <c r="C13" s="1" t="str">
        <f ca="1">IFERROR(__xludf.DUMMYFUNCTION("""COMPUTED_VALUE"""),"Walgreens Gambrills")</f>
        <v>Walgreens Gambrills</v>
      </c>
      <c r="D13" s="1" t="str">
        <f ca="1">IFERROR(__xludf.DUMMYFUNCTION("""COMPUTED_VALUE"""),"2633 Brandermill Blvd Gambrills Maryland 21054")</f>
        <v>2633 Brandermill Blvd Gambrills Maryland 21054</v>
      </c>
      <c r="E13" s="1" t="str">
        <f ca="1">IFERROR(__xludf.DUMMYFUNCTION("""COMPUTED_VALUE"""),"Yes")</f>
        <v>Yes</v>
      </c>
      <c r="F13" s="1" t="str">
        <f ca="1">IFERROR(__xludf.DUMMYFUNCTION("""COMPUTED_VALUE"""),"Pharmacy")</f>
        <v>Pharmacy</v>
      </c>
      <c r="G13" s="1"/>
      <c r="H13" s="1"/>
      <c r="I13" s="2" t="str">
        <f ca="1">IFERROR(__xludf.DUMMYFUNCTION("""COMPUTED_VALUE"""),"https://www.walgreens.com/schedulevaccine")</f>
        <v>https://www.walgreens.com/schedulevaccine</v>
      </c>
      <c r="J13" s="1"/>
      <c r="K13" s="1" t="str">
        <f ca="1">IFERROR(__xludf.DUMMYFUNCTION("""COMPUTED_VALUE"""),"1-800-WALGREENS")</f>
        <v>1-800-WALGREENS</v>
      </c>
      <c r="L13" s="1"/>
      <c r="M13" s="1" t="str">
        <f ca="1">IFERROR(__xludf.DUMMYFUNCTION("""COMPUTED_VALUE"""),"Schedule an appointment using the button below")</f>
        <v>Schedule an appointment using the button below</v>
      </c>
      <c r="N13" s="1"/>
      <c r="O13" s="1"/>
      <c r="P13" s="1" t="str">
        <f ca="1">IFERROR(__xludf.DUMMYFUNCTION("""COMPUTED_VALUE"""),"21054")</f>
        <v>21054</v>
      </c>
      <c r="Q13" s="1" t="str">
        <f ca="1">IFERROR(__xludf.DUMMYFUNCTION("""COMPUTED_VALUE"""),"Yes")</f>
        <v>Yes</v>
      </c>
      <c r="R13" s="1" t="str">
        <f ca="1">IFERROR(__xludf.DUMMYFUNCTION("""COMPUTED_VALUE"""),"Yes")</f>
        <v>Yes</v>
      </c>
      <c r="S13" s="1" t="str">
        <f ca="1">IFERROR(__xludf.DUMMYFUNCTION("""COMPUTED_VALUE"""),"Yes")</f>
        <v>Yes</v>
      </c>
      <c r="T13" s="1" t="str">
        <f ca="1">IFERROR(__xludf.DUMMYFUNCTION("""COMPUTED_VALUE"""),"Yes")</f>
        <v>Yes</v>
      </c>
    </row>
    <row r="14" spans="1:20" ht="15.75" customHeight="1" x14ac:dyDescent="0.6">
      <c r="A14" s="1" t="str">
        <f ca="1">IFERROR(__xludf.DUMMYFUNCTION("""COMPUTED_VALUE"""),"Anne Arundel")</f>
        <v>Anne Arundel</v>
      </c>
      <c r="B14" s="1" t="str">
        <f ca="1">IFERROR(__xludf.DUMMYFUNCTION("""COMPUTED_VALUE"""),"Pasadena")</f>
        <v>Pasadena</v>
      </c>
      <c r="C14" s="1" t="str">
        <f ca="1">IFERROR(__xludf.DUMMYFUNCTION("""COMPUTED_VALUE"""),"Walmart Pasadena")</f>
        <v>Walmart Pasadena</v>
      </c>
      <c r="D14" s="1" t="str">
        <f ca="1">IFERROR(__xludf.DUMMYFUNCTION("""COMPUTED_VALUE"""),"8107 Gov Ritchie Hwy Pasadena MD 21122")</f>
        <v>8107 Gov Ritchie Hwy Pasadena MD 21122</v>
      </c>
      <c r="E14" s="1" t="str">
        <f ca="1">IFERROR(__xludf.DUMMYFUNCTION("""COMPUTED_VALUE"""),"Yes")</f>
        <v>Yes</v>
      </c>
      <c r="F14" s="1" t="str">
        <f ca="1">IFERROR(__xludf.DUMMYFUNCTION("""COMPUTED_VALUE"""),"Pharmacy")</f>
        <v>Pharmacy</v>
      </c>
      <c r="G14" s="1"/>
      <c r="H14" s="1"/>
      <c r="I14" s="2" t="str">
        <f ca="1">IFERROR(__xludf.DUMMYFUNCTION("""COMPUTED_VALUE"""),"https://walmart.com/covidvaccine")</f>
        <v>https://walmart.com/covidvaccine</v>
      </c>
      <c r="J14" s="1"/>
      <c r="K14" s="1" t="str">
        <f ca="1">IFERROR(__xludf.DUMMYFUNCTION("""COMPUTED_VALUE"""),"410-689-1508")</f>
        <v>410-689-1508</v>
      </c>
      <c r="L14" s="1"/>
      <c r="M14" s="1" t="str">
        <f ca="1">IFERROR(__xludf.DUMMYFUNCTION("""COMPUTED_VALUE"""),"Schedule an appointment using the button below")</f>
        <v>Schedule an appointment using the button below</v>
      </c>
      <c r="N14" s="1"/>
      <c r="O14" s="1" t="str">
        <f ca="1">IFERROR(__xludf.DUMMYFUNCTION("""COMPUTED_VALUE"""),"Yes")</f>
        <v>Yes</v>
      </c>
      <c r="P14" s="1" t="str">
        <f ca="1">IFERROR(__xludf.DUMMYFUNCTION("""COMPUTED_VALUE"""),"21122")</f>
        <v>21122</v>
      </c>
      <c r="Q14" s="1" t="str">
        <f ca="1">IFERROR(__xludf.DUMMYFUNCTION("""COMPUTED_VALUE"""),"Yes")</f>
        <v>Yes</v>
      </c>
      <c r="R14" s="1" t="str">
        <f ca="1">IFERROR(__xludf.DUMMYFUNCTION("""COMPUTED_VALUE"""),"Yes")</f>
        <v>Yes</v>
      </c>
      <c r="S14" s="1" t="str">
        <f ca="1">IFERROR(__xludf.DUMMYFUNCTION("""COMPUTED_VALUE"""),"No")</f>
        <v>No</v>
      </c>
      <c r="T14" s="1" t="str">
        <f ca="1">IFERROR(__xludf.DUMMYFUNCTION("""COMPUTED_VALUE"""),"Yes")</f>
        <v>Yes</v>
      </c>
    </row>
    <row r="15" spans="1:20" ht="15.75" customHeight="1" x14ac:dyDescent="0.6">
      <c r="A15" s="1" t="str">
        <f ca="1">IFERROR(__xludf.DUMMYFUNCTION("""COMPUTED_VALUE"""),"Anne Arundel")</f>
        <v>Anne Arundel</v>
      </c>
      <c r="B15" s="1" t="str">
        <f ca="1">IFERROR(__xludf.DUMMYFUNCTION("""COMPUTED_VALUE"""),"Severna Park")</f>
        <v>Severna Park</v>
      </c>
      <c r="C15" s="1" t="str">
        <f ca="1">IFERROR(__xludf.DUMMYFUNCTION("""COMPUTED_VALUE"""),"Safeway Severna Park")</f>
        <v>Safeway Severna Park</v>
      </c>
      <c r="D15" s="1" t="str">
        <f ca="1">IFERROR(__xludf.DUMMYFUNCTION("""COMPUTED_VALUE"""),"540 Benfield Road Severna Park MD 21146")</f>
        <v>540 Benfield Road Severna Park MD 21146</v>
      </c>
      <c r="E15" s="1" t="str">
        <f ca="1">IFERROR(__xludf.DUMMYFUNCTION("""COMPUTED_VALUE"""),"Yes")</f>
        <v>Yes</v>
      </c>
      <c r="F15" s="1" t="str">
        <f ca="1">IFERROR(__xludf.DUMMYFUNCTION("""COMPUTED_VALUE"""),"Pharmacy")</f>
        <v>Pharmacy</v>
      </c>
      <c r="G15" s="1"/>
      <c r="H15" s="1"/>
      <c r="I15" s="2" t="str">
        <f ca="1">IFERROR(__xludf.DUMMYFUNCTION("""COMPUTED_VALUE"""),"https://www.safeway.com/covid-19")</f>
        <v>https://www.safeway.com/covid-19</v>
      </c>
      <c r="J15" s="1"/>
      <c r="K15" s="1"/>
      <c r="L15" s="1"/>
      <c r="M15" s="1" t="str">
        <f ca="1">IFERROR(__xludf.DUMMYFUNCTION("""COMPUTED_VALUE"""),"Schedule an appointment using the button below")</f>
        <v>Schedule an appointment using the button below</v>
      </c>
      <c r="N15" s="1"/>
      <c r="O15" s="1" t="str">
        <f ca="1">IFERROR(__xludf.DUMMYFUNCTION("""COMPUTED_VALUE"""),"Yes")</f>
        <v>Yes</v>
      </c>
      <c r="P15" s="1" t="str">
        <f ca="1">IFERROR(__xludf.DUMMYFUNCTION("""COMPUTED_VALUE"""),"21146")</f>
        <v>21146</v>
      </c>
      <c r="Q15" s="1" t="str">
        <f ca="1">IFERROR(__xludf.DUMMYFUNCTION("""COMPUTED_VALUE"""),"Yes")</f>
        <v>Yes</v>
      </c>
      <c r="R15" s="1" t="str">
        <f ca="1">IFERROR(__xludf.DUMMYFUNCTION("""COMPUTED_VALUE"""),"Yes")</f>
        <v>Yes</v>
      </c>
      <c r="S15" s="1" t="str">
        <f ca="1">IFERROR(__xludf.DUMMYFUNCTION("""COMPUTED_VALUE"""),"Yes")</f>
        <v>Yes</v>
      </c>
      <c r="T15" s="1" t="str">
        <f ca="1">IFERROR(__xludf.DUMMYFUNCTION("""COMPUTED_VALUE"""),"Yes")</f>
        <v>Yes</v>
      </c>
    </row>
    <row r="16" spans="1:20" ht="15.75" customHeight="1" x14ac:dyDescent="0.6">
      <c r="A16" s="1" t="str">
        <f ca="1">IFERROR(__xludf.DUMMYFUNCTION("""COMPUTED_VALUE"""),"Anne Arundel")</f>
        <v>Anne Arundel</v>
      </c>
      <c r="B16" s="1" t="str">
        <f ca="1">IFERROR(__xludf.DUMMYFUNCTION("""COMPUTED_VALUE"""),"Annapolis")</f>
        <v>Annapolis</v>
      </c>
      <c r="C16" s="1" t="str">
        <f ca="1">IFERROR(__xludf.DUMMYFUNCTION("""COMPUTED_VALUE"""),"Safeway Annapolis")</f>
        <v>Safeway Annapolis</v>
      </c>
      <c r="D16" s="1" t="str">
        <f ca="1">IFERROR(__xludf.DUMMYFUNCTION("""COMPUTED_VALUE"""),"1781 Forest Drive Annapolis MD 21401")</f>
        <v>1781 Forest Drive Annapolis MD 21401</v>
      </c>
      <c r="E16" s="1" t="str">
        <f ca="1">IFERROR(__xludf.DUMMYFUNCTION("""COMPUTED_VALUE"""),"Yes")</f>
        <v>Yes</v>
      </c>
      <c r="F16" s="1" t="str">
        <f ca="1">IFERROR(__xludf.DUMMYFUNCTION("""COMPUTED_VALUE"""),"Pharmacy")</f>
        <v>Pharmacy</v>
      </c>
      <c r="G16" s="1"/>
      <c r="H16" s="1"/>
      <c r="I16" s="2" t="str">
        <f ca="1">IFERROR(__xludf.DUMMYFUNCTION("""COMPUTED_VALUE"""),"https://www.safeway.com/covid-19")</f>
        <v>https://www.safeway.com/covid-19</v>
      </c>
      <c r="J16" s="1"/>
      <c r="K16" s="1"/>
      <c r="L16" s="1"/>
      <c r="M16" s="1" t="str">
        <f ca="1">IFERROR(__xludf.DUMMYFUNCTION("""COMPUTED_VALUE"""),"Schedule an appointment using the button below")</f>
        <v>Schedule an appointment using the button below</v>
      </c>
      <c r="N16" s="1"/>
      <c r="O16" s="1" t="str">
        <f ca="1">IFERROR(__xludf.DUMMYFUNCTION("""COMPUTED_VALUE"""),"Yes")</f>
        <v>Yes</v>
      </c>
      <c r="P16" s="1" t="str">
        <f ca="1">IFERROR(__xludf.DUMMYFUNCTION("""COMPUTED_VALUE"""),"21401")</f>
        <v>21401</v>
      </c>
      <c r="Q16" s="1" t="str">
        <f ca="1">IFERROR(__xludf.DUMMYFUNCTION("""COMPUTED_VALUE"""),"Yes")</f>
        <v>Yes</v>
      </c>
      <c r="R16" s="1" t="str">
        <f ca="1">IFERROR(__xludf.DUMMYFUNCTION("""COMPUTED_VALUE"""),"Yes")</f>
        <v>Yes</v>
      </c>
      <c r="S16" s="1" t="str">
        <f ca="1">IFERROR(__xludf.DUMMYFUNCTION("""COMPUTED_VALUE"""),"No")</f>
        <v>No</v>
      </c>
      <c r="T16" s="1" t="str">
        <f ca="1">IFERROR(__xludf.DUMMYFUNCTION("""COMPUTED_VALUE"""),"Yes")</f>
        <v>Yes</v>
      </c>
    </row>
    <row r="17" spans="1:20" ht="15.75" customHeight="1" x14ac:dyDescent="0.6">
      <c r="A17" s="1" t="str">
        <f ca="1">IFERROR(__xludf.DUMMYFUNCTION("""COMPUTED_VALUE"""),"Anne Arundel")</f>
        <v>Anne Arundel</v>
      </c>
      <c r="B17" s="1" t="str">
        <f ca="1">IFERROR(__xludf.DUMMYFUNCTION("""COMPUTED_VALUE"""),"Glen Burnie")</f>
        <v>Glen Burnie</v>
      </c>
      <c r="C17" s="1" t="str">
        <f ca="1">IFERROR(__xludf.DUMMYFUNCTION("""COMPUTED_VALUE"""),"Jai Pharmacy")</f>
        <v>Jai Pharmacy</v>
      </c>
      <c r="D17" s="1" t="str">
        <f ca="1">IFERROR(__xludf.DUMMYFUNCTION("""COMPUTED_VALUE"""),"1810 Crain Highway South Glen Burnie MD 21061")</f>
        <v>1810 Crain Highway South Glen Burnie MD 21061</v>
      </c>
      <c r="E17" s="1" t="str">
        <f ca="1">IFERROR(__xludf.DUMMYFUNCTION("""COMPUTED_VALUE"""),"Yes")</f>
        <v>Yes</v>
      </c>
      <c r="F17" s="1" t="str">
        <f ca="1">IFERROR(__xludf.DUMMYFUNCTION("""COMPUTED_VALUE"""),"Pharmacy")</f>
        <v>Pharmacy</v>
      </c>
      <c r="G17" s="2" t="str">
        <f ca="1">IFERROR(__xludf.DUMMYFUNCTION("""COMPUTED_VALUE"""),"https://www.jaipharmacy.com/")</f>
        <v>https://www.jaipharmacy.com/</v>
      </c>
      <c r="H17" s="1"/>
      <c r="I17" s="1"/>
      <c r="J17" s="1"/>
      <c r="K17" s="1" t="str">
        <f ca="1">IFERROR(__xludf.DUMMYFUNCTION("""COMPUTED_VALUE"""),"443-883-3825")</f>
        <v>443-883-3825</v>
      </c>
      <c r="L17" s="1"/>
      <c r="M17" s="1" t="str">
        <f ca="1">IFERROR(__xludf.DUMMYFUNCTION("""COMPUTED_VALUE"""),"Call the number below to schedule an appointment")</f>
        <v>Call the number below to schedule an appointment</v>
      </c>
      <c r="N17" s="1"/>
      <c r="O17" s="1" t="str">
        <f ca="1">IFERROR(__xludf.DUMMYFUNCTION("""COMPUTED_VALUE"""),"Yes")</f>
        <v>Yes</v>
      </c>
      <c r="P17" s="1" t="str">
        <f ca="1">IFERROR(__xludf.DUMMYFUNCTION("""COMPUTED_VALUE"""),"21061")</f>
        <v>21061</v>
      </c>
      <c r="Q17" s="1" t="str">
        <f ca="1">IFERROR(__xludf.DUMMYFUNCTION("""COMPUTED_VALUE"""),"Yes")</f>
        <v>Yes</v>
      </c>
      <c r="R17" s="1" t="str">
        <f ca="1">IFERROR(__xludf.DUMMYFUNCTION("""COMPUTED_VALUE"""),"Yes")</f>
        <v>Yes</v>
      </c>
      <c r="S17" s="1" t="str">
        <f ca="1">IFERROR(__xludf.DUMMYFUNCTION("""COMPUTED_VALUE"""),"Yes")</f>
        <v>Yes</v>
      </c>
      <c r="T17" s="1" t="str">
        <f ca="1">IFERROR(__xludf.DUMMYFUNCTION("""COMPUTED_VALUE"""),"Yes")</f>
        <v>Yes</v>
      </c>
    </row>
    <row r="18" spans="1:20" ht="15.75" customHeight="1" x14ac:dyDescent="0.6">
      <c r="A18" s="1" t="str">
        <f ca="1">IFERROR(__xludf.DUMMYFUNCTION("""COMPUTED_VALUE"""),"Anne Arundel")</f>
        <v>Anne Arundel</v>
      </c>
      <c r="B18" s="1" t="str">
        <f ca="1">IFERROR(__xludf.DUMMYFUNCTION("""COMPUTED_VALUE"""),"Severn")</f>
        <v>Severn</v>
      </c>
      <c r="C18" s="1" t="str">
        <f ca="1">IFERROR(__xludf.DUMMYFUNCTION("""COMPUTED_VALUE"""),"Walmart Severn")</f>
        <v>Walmart Severn</v>
      </c>
      <c r="D18" s="1" t="str">
        <f ca="1">IFERROR(__xludf.DUMMYFUNCTION("""COMPUTED_VALUE"""),"424 George Claus Blvd Severn MD 21144")</f>
        <v>424 George Claus Blvd Severn MD 21144</v>
      </c>
      <c r="E18" s="1" t="str">
        <f ca="1">IFERROR(__xludf.DUMMYFUNCTION("""COMPUTED_VALUE"""),"Yes")</f>
        <v>Yes</v>
      </c>
      <c r="F18" s="1" t="str">
        <f ca="1">IFERROR(__xludf.DUMMYFUNCTION("""COMPUTED_VALUE"""),"Pharmacy")</f>
        <v>Pharmacy</v>
      </c>
      <c r="G18" s="1"/>
      <c r="H18" s="1"/>
      <c r="I18" s="2" t="str">
        <f ca="1">IFERROR(__xludf.DUMMYFUNCTION("""COMPUTED_VALUE"""),"https://walmart.com/covidvaccine")</f>
        <v>https://walmart.com/covidvaccine</v>
      </c>
      <c r="J18" s="1"/>
      <c r="K18" s="1" t="str">
        <f ca="1">IFERROR(__xludf.DUMMYFUNCTION("""COMPUTED_VALUE"""),"410-969-5491")</f>
        <v>410-969-5491</v>
      </c>
      <c r="L18" s="1"/>
      <c r="M18" s="1" t="str">
        <f ca="1">IFERROR(__xludf.DUMMYFUNCTION("""COMPUTED_VALUE"""),"Schedule an appointment using the button below")</f>
        <v>Schedule an appointment using the button below</v>
      </c>
      <c r="N18" s="1"/>
      <c r="O18" s="1" t="str">
        <f ca="1">IFERROR(__xludf.DUMMYFUNCTION("""COMPUTED_VALUE"""),"Yes")</f>
        <v>Yes</v>
      </c>
      <c r="P18" s="1" t="str">
        <f ca="1">IFERROR(__xludf.DUMMYFUNCTION("""COMPUTED_VALUE"""),"21144")</f>
        <v>21144</v>
      </c>
      <c r="Q18" s="1" t="str">
        <f ca="1">IFERROR(__xludf.DUMMYFUNCTION("""COMPUTED_VALUE"""),"Yes")</f>
        <v>Yes</v>
      </c>
      <c r="R18" s="1" t="str">
        <f ca="1">IFERROR(__xludf.DUMMYFUNCTION("""COMPUTED_VALUE"""),"Yes")</f>
        <v>Yes</v>
      </c>
      <c r="S18" s="1" t="str">
        <f ca="1">IFERROR(__xludf.DUMMYFUNCTION("""COMPUTED_VALUE"""),"Yes")</f>
        <v>Yes</v>
      </c>
      <c r="T18" s="1" t="str">
        <f ca="1">IFERROR(__xludf.DUMMYFUNCTION("""COMPUTED_VALUE"""),"Yes")</f>
        <v>Yes</v>
      </c>
    </row>
    <row r="19" spans="1:20" ht="15.75" customHeight="1" x14ac:dyDescent="0.6">
      <c r="A19" s="1" t="str">
        <f ca="1">IFERROR(__xludf.DUMMYFUNCTION("""COMPUTED_VALUE"""),"Anne Arundel")</f>
        <v>Anne Arundel</v>
      </c>
      <c r="B19" s="1" t="str">
        <f ca="1">IFERROR(__xludf.DUMMYFUNCTION("""COMPUTED_VALUE"""),"Pasadena")</f>
        <v>Pasadena</v>
      </c>
      <c r="C19" s="1" t="str">
        <f ca="1">IFERROR(__xludf.DUMMYFUNCTION("""COMPUTED_VALUE"""),"Weis Pharmacy #44")</f>
        <v>Weis Pharmacy #44</v>
      </c>
      <c r="D19" s="1" t="str">
        <f ca="1">IFERROR(__xludf.DUMMYFUNCTION("""COMPUTED_VALUE"""),"8115 Ritchie Highway Pasadena, MD 21122")</f>
        <v>8115 Ritchie Highway Pasadena, MD 21122</v>
      </c>
      <c r="E19" s="1" t="str">
        <f ca="1">IFERROR(__xludf.DUMMYFUNCTION("""COMPUTED_VALUE"""),"Yes")</f>
        <v>Yes</v>
      </c>
      <c r="F19" s="1" t="str">
        <f ca="1">IFERROR(__xludf.DUMMYFUNCTION("""COMPUTED_VALUE"""),"Pharmacy")</f>
        <v>Pharmacy</v>
      </c>
      <c r="G19" s="1"/>
      <c r="H19" s="1"/>
      <c r="I19" s="2" t="str">
        <f ca="1">IFERROR(__xludf.DUMMYFUNCTION("""COMPUTED_VALUE"""),"https://www.weismarkets.com/pharmacy-services")</f>
        <v>https://www.weismarkets.com/pharmacy-services</v>
      </c>
      <c r="J19" s="1"/>
      <c r="K19" s="1"/>
      <c r="L19" s="1"/>
      <c r="M19" s="1" t="str">
        <f ca="1">IFERROR(__xludf.DUMMYFUNCTION("""COMPUTED_VALUE"""),"Schedule an appointment using the button below")</f>
        <v>Schedule an appointment using the button below</v>
      </c>
      <c r="N19" s="1"/>
      <c r="O19" s="1" t="str">
        <f ca="1">IFERROR(__xludf.DUMMYFUNCTION("""COMPUTED_VALUE"""),"Yes")</f>
        <v>Yes</v>
      </c>
      <c r="P19" s="1" t="str">
        <f ca="1">IFERROR(__xludf.DUMMYFUNCTION("""COMPUTED_VALUE"""),"21122")</f>
        <v>21122</v>
      </c>
      <c r="Q19" s="1" t="str">
        <f ca="1">IFERROR(__xludf.DUMMYFUNCTION("""COMPUTED_VALUE"""),"Yes")</f>
        <v>Yes</v>
      </c>
      <c r="R19" s="1" t="str">
        <f ca="1">IFERROR(__xludf.DUMMYFUNCTION("""COMPUTED_VALUE"""),"Yes")</f>
        <v>Yes</v>
      </c>
      <c r="S19" s="1" t="str">
        <f ca="1">IFERROR(__xludf.DUMMYFUNCTION("""COMPUTED_VALUE"""),"Yes")</f>
        <v>Yes</v>
      </c>
      <c r="T19" s="1" t="str">
        <f ca="1">IFERROR(__xludf.DUMMYFUNCTION("""COMPUTED_VALUE"""),"Yes")</f>
        <v>Yes</v>
      </c>
    </row>
    <row r="20" spans="1:20" ht="15.75" customHeight="1" x14ac:dyDescent="0.6">
      <c r="A20" s="1" t="str">
        <f ca="1">IFERROR(__xludf.DUMMYFUNCTION("""COMPUTED_VALUE"""),"Anne Arundel")</f>
        <v>Anne Arundel</v>
      </c>
      <c r="B20" s="1" t="str">
        <f ca="1">IFERROR(__xludf.DUMMYFUNCTION("""COMPUTED_VALUE"""),"Grambrills")</f>
        <v>Grambrills</v>
      </c>
      <c r="C20" s="1" t="str">
        <f ca="1">IFERROR(__xludf.DUMMYFUNCTION("""COMPUTED_VALUE"""),"Wegman's Pharmacy #060 Crofton")</f>
        <v>Wegman's Pharmacy #060 Crofton</v>
      </c>
      <c r="D20" s="1" t="str">
        <f ca="1">IFERROR(__xludf.DUMMYFUNCTION("""COMPUTED_VALUE"""),"1413 South Main Chapel Way Grambrills, MD 21054")</f>
        <v>1413 South Main Chapel Way Grambrills, MD 21054</v>
      </c>
      <c r="E20" s="1" t="str">
        <f ca="1">IFERROR(__xludf.DUMMYFUNCTION("""COMPUTED_VALUE"""),"Yes")</f>
        <v>Yes</v>
      </c>
      <c r="F20" s="1" t="str">
        <f ca="1">IFERROR(__xludf.DUMMYFUNCTION("""COMPUTED_VALUE"""),"Pharmacy")</f>
        <v>Pharmacy</v>
      </c>
      <c r="G20" s="1"/>
      <c r="H20" s="1"/>
      <c r="I20" s="2" t="str">
        <f ca="1">IFERROR(__xludf.DUMMYFUNCTION("""COMPUTED_VALUE"""),"https://www.wegmans.com/covid-vaccine-registration/")</f>
        <v>https://www.wegmans.com/covid-vaccine-registration/</v>
      </c>
      <c r="J20" s="1"/>
      <c r="K20" s="1"/>
      <c r="L20" s="1"/>
      <c r="M20" s="1" t="str">
        <f ca="1">IFERROR(__xludf.DUMMYFUNCTION("""COMPUTED_VALUE"""),"Schedule an appointment using the button below")</f>
        <v>Schedule an appointment using the button below</v>
      </c>
      <c r="N20" s="1"/>
      <c r="O20" s="1" t="str">
        <f ca="1">IFERROR(__xludf.DUMMYFUNCTION("""COMPUTED_VALUE"""),"Yes")</f>
        <v>Yes</v>
      </c>
      <c r="P20" s="1" t="str">
        <f ca="1">IFERROR(__xludf.DUMMYFUNCTION("""COMPUTED_VALUE"""),"21054")</f>
        <v>21054</v>
      </c>
      <c r="Q20" s="1" t="str">
        <f ca="1">IFERROR(__xludf.DUMMYFUNCTION("""COMPUTED_VALUE"""),"Yes")</f>
        <v>Yes</v>
      </c>
      <c r="R20" s="1" t="str">
        <f ca="1">IFERROR(__xludf.DUMMYFUNCTION("""COMPUTED_VALUE"""),"Yes")</f>
        <v>Yes</v>
      </c>
      <c r="S20" s="1" t="str">
        <f ca="1">IFERROR(__xludf.DUMMYFUNCTION("""COMPUTED_VALUE"""),"No")</f>
        <v>No</v>
      </c>
      <c r="T20" s="1" t="str">
        <f ca="1">IFERROR(__xludf.DUMMYFUNCTION("""COMPUTED_VALUE"""),"Yes")</f>
        <v>Yes</v>
      </c>
    </row>
    <row r="21" spans="1:20" ht="15.75" customHeight="1" x14ac:dyDescent="0.6">
      <c r="A21" s="1" t="str">
        <f ca="1">IFERROR(__xludf.DUMMYFUNCTION("""COMPUTED_VALUE"""),"Anne Arundel")</f>
        <v>Anne Arundel</v>
      </c>
      <c r="B21" s="1" t="str">
        <f ca="1">IFERROR(__xludf.DUMMYFUNCTION("""COMPUTED_VALUE"""),"Baltimore")</f>
        <v>Baltimore</v>
      </c>
      <c r="C21" s="1" t="str">
        <f ca="1">IFERROR(__xludf.DUMMYFUNCTION("""COMPUTED_VALUE"""),"Rite Aid Baltimore (Ritchie Highway)")</f>
        <v>Rite Aid Baltimore (Ritchie Highway)</v>
      </c>
      <c r="D21" s="1" t="str">
        <f ca="1">IFERROR(__xludf.DUMMYFUNCTION("""COMPUTED_VALUE"""),"5804 Ritchie Highway Baltimore, MD 21225")</f>
        <v>5804 Ritchie Highway Baltimore, MD 21225</v>
      </c>
      <c r="E21" s="1" t="str">
        <f ca="1">IFERROR(__xludf.DUMMYFUNCTION("""COMPUTED_VALUE"""),"Yes")</f>
        <v>Yes</v>
      </c>
      <c r="F21" s="1" t="str">
        <f ca="1">IFERROR(__xludf.DUMMYFUNCTION("""COMPUTED_VALUE"""),"Pharmacy")</f>
        <v>Pharmacy</v>
      </c>
      <c r="G21" s="1"/>
      <c r="H21" s="1"/>
      <c r="I21" s="2" t="str">
        <f ca="1">IFERROR(__xludf.DUMMYFUNCTION("""COMPUTED_VALUE"""),"https://www.riteaid.com/pharmacy/covid-qualifier")</f>
        <v>https://www.riteaid.com/pharmacy/covid-qualifier</v>
      </c>
      <c r="J21" s="1"/>
      <c r="K21" s="1"/>
      <c r="L21" s="1"/>
      <c r="M21" s="1" t="str">
        <f ca="1">IFERROR(__xludf.DUMMYFUNCTION("""COMPUTED_VALUE"""),"Schedule an appointment using the button below")</f>
        <v>Schedule an appointment using the button below</v>
      </c>
      <c r="N21" s="1"/>
      <c r="O21" s="1"/>
      <c r="P21" s="1" t="str">
        <f ca="1">IFERROR(__xludf.DUMMYFUNCTION("""COMPUTED_VALUE"""),"21225")</f>
        <v>21225</v>
      </c>
      <c r="Q21" s="1" t="str">
        <f ca="1">IFERROR(__xludf.DUMMYFUNCTION("""COMPUTED_VALUE"""),"Yes")</f>
        <v>Yes</v>
      </c>
      <c r="R21" s="1" t="str">
        <f ca="1">IFERROR(__xludf.DUMMYFUNCTION("""COMPUTED_VALUE"""),"Yes")</f>
        <v>Yes</v>
      </c>
      <c r="S21" s="1" t="str">
        <f ca="1">IFERROR(__xludf.DUMMYFUNCTION("""COMPUTED_VALUE"""),"Yes")</f>
        <v>Yes</v>
      </c>
      <c r="T21" s="1" t="str">
        <f ca="1">IFERROR(__xludf.DUMMYFUNCTION("""COMPUTED_VALUE"""),"Yes")</f>
        <v>Yes</v>
      </c>
    </row>
    <row r="22" spans="1:20" ht="13" x14ac:dyDescent="0.6">
      <c r="A22" s="1" t="str">
        <f ca="1">IFERROR(__xludf.DUMMYFUNCTION("""COMPUTED_VALUE"""),"Anne Arundel")</f>
        <v>Anne Arundel</v>
      </c>
      <c r="B22" s="1" t="str">
        <f ca="1">IFERROR(__xludf.DUMMYFUNCTION("""COMPUTED_VALUE"""),"Edgewater")</f>
        <v>Edgewater</v>
      </c>
      <c r="C22" s="1" t="str">
        <f ca="1">IFERROR(__xludf.DUMMYFUNCTION("""COMPUTED_VALUE"""),"Giant Food Edgewater")</f>
        <v>Giant Food Edgewater</v>
      </c>
      <c r="D22" s="1" t="str">
        <f ca="1">IFERROR(__xludf.DUMMYFUNCTION("""COMPUTED_VALUE"""),"13 Lee Airport Road Edgewater, MD 21037")</f>
        <v>13 Lee Airport Road Edgewater, MD 21037</v>
      </c>
      <c r="E22" s="1" t="str">
        <f ca="1">IFERROR(__xludf.DUMMYFUNCTION("""COMPUTED_VALUE"""),"Yes")</f>
        <v>Yes</v>
      </c>
      <c r="F22" s="1" t="str">
        <f ca="1">IFERROR(__xludf.DUMMYFUNCTION("""COMPUTED_VALUE"""),"Pharmacy")</f>
        <v>Pharmacy</v>
      </c>
      <c r="G22" s="1"/>
      <c r="H22" s="1" t="str">
        <f ca="1">IFERROR(__xludf.DUMMYFUNCTION("""COMPUTED_VALUE"""),"Sun 10am - 5pm, Mon - Fri 9am - 9pm, Sat 9am - 6pm")</f>
        <v>Sun 10am - 5pm, Mon - Fri 9am - 9pm, Sat 9am - 6pm</v>
      </c>
      <c r="I22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2" s="1"/>
      <c r="K22" s="1" t="str">
        <f ca="1">IFERROR(__xludf.DUMMYFUNCTION("""COMPUTED_VALUE"""),"410-956-4150")</f>
        <v>410-956-4150</v>
      </c>
      <c r="L22" s="1"/>
      <c r="M22" s="1" t="str">
        <f ca="1">IFERROR(__xludf.DUMMYFUNCTION("""COMPUTED_VALUE"""),"Schedule an appointment using the button below")</f>
        <v>Schedule an appointment using the button below</v>
      </c>
      <c r="N22" s="1"/>
      <c r="O22" s="1" t="str">
        <f ca="1">IFERROR(__xludf.DUMMYFUNCTION("""COMPUTED_VALUE"""),"Yes")</f>
        <v>Yes</v>
      </c>
      <c r="P22" s="1" t="str">
        <f ca="1">IFERROR(__xludf.DUMMYFUNCTION("""COMPUTED_VALUE"""),"21037")</f>
        <v>21037</v>
      </c>
      <c r="Q22" s="1" t="str">
        <f ca="1">IFERROR(__xludf.DUMMYFUNCTION("""COMPUTED_VALUE"""),"Yes")</f>
        <v>Yes</v>
      </c>
      <c r="R22" s="1" t="str">
        <f ca="1">IFERROR(__xludf.DUMMYFUNCTION("""COMPUTED_VALUE"""),"Yes")</f>
        <v>Yes</v>
      </c>
      <c r="S22" s="1" t="str">
        <f ca="1">IFERROR(__xludf.DUMMYFUNCTION("""COMPUTED_VALUE"""),"No")</f>
        <v>No</v>
      </c>
      <c r="T22" s="1" t="str">
        <f ca="1">IFERROR(__xludf.DUMMYFUNCTION("""COMPUTED_VALUE"""),"Yes")</f>
        <v>Yes</v>
      </c>
    </row>
    <row r="23" spans="1:20" ht="13" x14ac:dyDescent="0.6">
      <c r="A23" s="1" t="str">
        <f ca="1">IFERROR(__xludf.DUMMYFUNCTION("""COMPUTED_VALUE"""),"Anne Arundel")</f>
        <v>Anne Arundel</v>
      </c>
      <c r="B23" s="1" t="str">
        <f ca="1">IFERROR(__xludf.DUMMYFUNCTION("""COMPUTED_VALUE"""),"Severn")</f>
        <v>Severn</v>
      </c>
      <c r="C23" s="1" t="str">
        <f ca="1">IFERROR(__xludf.DUMMYFUNCTION("""COMPUTED_VALUE"""),"Walmart Severn")</f>
        <v>Walmart Severn</v>
      </c>
      <c r="D23" s="1" t="str">
        <f ca="1">IFERROR(__xludf.DUMMYFUNCTION("""COMPUTED_VALUE"""),"407 George Claus Blvd Severn, MD 21144")</f>
        <v>407 George Claus Blvd Severn, MD 21144</v>
      </c>
      <c r="E23" s="1" t="str">
        <f ca="1">IFERROR(__xludf.DUMMYFUNCTION("""COMPUTED_VALUE"""),"Yes")</f>
        <v>Yes</v>
      </c>
      <c r="F23" s="1" t="str">
        <f ca="1">IFERROR(__xludf.DUMMYFUNCTION("""COMPUTED_VALUE"""),"Pharmacy")</f>
        <v>Pharmacy</v>
      </c>
      <c r="G23" s="1"/>
      <c r="H23" s="1"/>
      <c r="I23" s="2" t="str">
        <f ca="1">IFERROR(__xludf.DUMMYFUNCTION("""COMPUTED_VALUE"""),"https://walmart.com/covidvaccine")</f>
        <v>https://walmart.com/covidvaccine</v>
      </c>
      <c r="J23" s="1"/>
      <c r="K23" s="1" t="str">
        <f ca="1">IFERROR(__xludf.DUMMYFUNCTION("""COMPUTED_VALUE"""),"410-582-9335")</f>
        <v>410-582-9335</v>
      </c>
      <c r="L23" s="1"/>
      <c r="M23" s="1" t="str">
        <f ca="1">IFERROR(__xludf.DUMMYFUNCTION("""COMPUTED_VALUE"""),"Schedule an appointment using the button below")</f>
        <v>Schedule an appointment using the button below</v>
      </c>
      <c r="N23" s="1"/>
      <c r="O23" s="1" t="str">
        <f ca="1">IFERROR(__xludf.DUMMYFUNCTION("""COMPUTED_VALUE"""),"Yes")</f>
        <v>Yes</v>
      </c>
      <c r="P23" s="1" t="str">
        <f ca="1">IFERROR(__xludf.DUMMYFUNCTION("""COMPUTED_VALUE"""),"21144")</f>
        <v>21144</v>
      </c>
      <c r="Q23" s="1" t="str">
        <f ca="1">IFERROR(__xludf.DUMMYFUNCTION("""COMPUTED_VALUE"""),"Yes")</f>
        <v>Yes</v>
      </c>
      <c r="R23" s="1" t="str">
        <f ca="1">IFERROR(__xludf.DUMMYFUNCTION("""COMPUTED_VALUE"""),"Yes")</f>
        <v>Yes</v>
      </c>
      <c r="S23" s="1" t="str">
        <f ca="1">IFERROR(__xludf.DUMMYFUNCTION("""COMPUTED_VALUE"""),"Yes")</f>
        <v>Yes</v>
      </c>
      <c r="T23" s="1" t="str">
        <f ca="1">IFERROR(__xludf.DUMMYFUNCTION("""COMPUTED_VALUE"""),"Yes")</f>
        <v>Yes</v>
      </c>
    </row>
    <row r="24" spans="1:20" ht="13" x14ac:dyDescent="0.6">
      <c r="A24" s="1" t="str">
        <f ca="1">IFERROR(__xludf.DUMMYFUNCTION("""COMPUTED_VALUE"""),"Anne Arundel")</f>
        <v>Anne Arundel</v>
      </c>
      <c r="B24" s="1" t="str">
        <f ca="1">IFERROR(__xludf.DUMMYFUNCTION("""COMPUTED_VALUE"""),"Laurel")</f>
        <v>Laurel</v>
      </c>
      <c r="C24" s="1" t="str">
        <f ca="1">IFERROR(__xludf.DUMMYFUNCTION("""COMPUTED_VALUE"""),"Walmart Laurel")</f>
        <v>Walmart Laurel</v>
      </c>
      <c r="D24" s="1" t="str">
        <f ca="1">IFERROR(__xludf.DUMMYFUNCTION("""COMPUTED_VALUE"""),"3549 Russett Grn E Laurel, MD 20724")</f>
        <v>3549 Russett Grn E Laurel, MD 20724</v>
      </c>
      <c r="E24" s="1" t="str">
        <f ca="1">IFERROR(__xludf.DUMMYFUNCTION("""COMPUTED_VALUE"""),"Yes")</f>
        <v>Yes</v>
      </c>
      <c r="F24" s="1" t="str">
        <f ca="1">IFERROR(__xludf.DUMMYFUNCTION("""COMPUTED_VALUE"""),"Pharmacy")</f>
        <v>Pharmacy</v>
      </c>
      <c r="G24" s="1"/>
      <c r="H24" s="1"/>
      <c r="I24" s="2" t="str">
        <f ca="1">IFERROR(__xludf.DUMMYFUNCTION("""COMPUTED_VALUE"""),"https://walmart.com/covidvaccine")</f>
        <v>https://walmart.com/covidvaccine</v>
      </c>
      <c r="J24" s="1"/>
      <c r="K24" s="1" t="str">
        <f ca="1">IFERROR(__xludf.DUMMYFUNCTION("""COMPUTED_VALUE"""),"301-604-0148")</f>
        <v>301-604-0148</v>
      </c>
      <c r="L24" s="1"/>
      <c r="M24" s="1" t="str">
        <f ca="1">IFERROR(__xludf.DUMMYFUNCTION("""COMPUTED_VALUE"""),"Schedule an appointment using the button below")</f>
        <v>Schedule an appointment using the button below</v>
      </c>
      <c r="N24" s="1"/>
      <c r="O24" s="1"/>
      <c r="P24" s="1" t="str">
        <f ca="1">IFERROR(__xludf.DUMMYFUNCTION("""COMPUTED_VALUE"""),"20724")</f>
        <v>20724</v>
      </c>
      <c r="Q24" s="1" t="str">
        <f ca="1">IFERROR(__xludf.DUMMYFUNCTION("""COMPUTED_VALUE"""),"No")</f>
        <v>No</v>
      </c>
      <c r="R24" s="1" t="str">
        <f ca="1">IFERROR(__xludf.DUMMYFUNCTION("""COMPUTED_VALUE"""),"Yes")</f>
        <v>Yes</v>
      </c>
      <c r="S24" s="1" t="str">
        <f ca="1">IFERROR(__xludf.DUMMYFUNCTION("""COMPUTED_VALUE"""),"Yes")</f>
        <v>Yes</v>
      </c>
      <c r="T24" s="1" t="str">
        <f ca="1">IFERROR(__xludf.DUMMYFUNCTION("""COMPUTED_VALUE"""),"Yes")</f>
        <v>Yes</v>
      </c>
    </row>
    <row r="25" spans="1:20" ht="13" x14ac:dyDescent="0.6">
      <c r="A25" s="1" t="str">
        <f ca="1">IFERROR(__xludf.DUMMYFUNCTION("""COMPUTED_VALUE"""),"Anne Arundel")</f>
        <v>Anne Arundel</v>
      </c>
      <c r="B25" s="1" t="str">
        <f ca="1">IFERROR(__xludf.DUMMYFUNCTION("""COMPUTED_VALUE"""),"Glen Burnie")</f>
        <v>Glen Burnie</v>
      </c>
      <c r="C25" s="1" t="str">
        <f ca="1">IFERROR(__xludf.DUMMYFUNCTION("""COMPUTED_VALUE"""),"Walmart Glen Burnie")</f>
        <v>Walmart Glen Burnie</v>
      </c>
      <c r="D25" s="1" t="str">
        <f ca="1">IFERROR(__xludf.DUMMYFUNCTION("""COMPUTED_VALUE"""),"6721 Chesapeake Center Dr Glen Burnie, MD 21060")</f>
        <v>6721 Chesapeake Center Dr Glen Burnie, MD 21060</v>
      </c>
      <c r="E25" s="1" t="str">
        <f ca="1">IFERROR(__xludf.DUMMYFUNCTION("""COMPUTED_VALUE"""),"Yes")</f>
        <v>Yes</v>
      </c>
      <c r="F25" s="1" t="str">
        <f ca="1">IFERROR(__xludf.DUMMYFUNCTION("""COMPUTED_VALUE"""),"Pharmacy")</f>
        <v>Pharmacy</v>
      </c>
      <c r="G25" s="1"/>
      <c r="H25" s="1"/>
      <c r="I25" s="2" t="str">
        <f ca="1">IFERROR(__xludf.DUMMYFUNCTION("""COMPUTED_VALUE"""),"https://walmart.com/covidvaccine")</f>
        <v>https://walmart.com/covidvaccine</v>
      </c>
      <c r="J25" s="1"/>
      <c r="K25" s="1" t="str">
        <f ca="1">IFERROR(__xludf.DUMMYFUNCTION("""COMPUTED_VALUE"""),"410-863-1285")</f>
        <v>410-863-1285</v>
      </c>
      <c r="L25" s="1"/>
      <c r="M25" s="1" t="str">
        <f ca="1">IFERROR(__xludf.DUMMYFUNCTION("""COMPUTED_VALUE"""),"Schedule an appointment using the button below")</f>
        <v>Schedule an appointment using the button below</v>
      </c>
      <c r="N25" s="1"/>
      <c r="O25" s="1" t="str">
        <f ca="1">IFERROR(__xludf.DUMMYFUNCTION("""COMPUTED_VALUE"""),"Yes")</f>
        <v>Yes</v>
      </c>
      <c r="P25" s="1" t="str">
        <f ca="1">IFERROR(__xludf.DUMMYFUNCTION("""COMPUTED_VALUE"""),"21060")</f>
        <v>21060</v>
      </c>
      <c r="Q25" s="1" t="str">
        <f ca="1">IFERROR(__xludf.DUMMYFUNCTION("""COMPUTED_VALUE"""),"Yes")</f>
        <v>Yes</v>
      </c>
      <c r="R25" s="1" t="str">
        <f ca="1">IFERROR(__xludf.DUMMYFUNCTION("""COMPUTED_VALUE"""),"No")</f>
        <v>No</v>
      </c>
      <c r="S25" s="1" t="str">
        <f ca="1">IFERROR(__xludf.DUMMYFUNCTION("""COMPUTED_VALUE"""),"Yes")</f>
        <v>Yes</v>
      </c>
      <c r="T25" s="1" t="str">
        <f ca="1">IFERROR(__xludf.DUMMYFUNCTION("""COMPUTED_VALUE"""),"Yes")</f>
        <v>Yes</v>
      </c>
    </row>
    <row r="26" spans="1:20" ht="13" x14ac:dyDescent="0.6">
      <c r="A26" s="1" t="str">
        <f ca="1">IFERROR(__xludf.DUMMYFUNCTION("""COMPUTED_VALUE"""),"Anne Arundel")</f>
        <v>Anne Arundel</v>
      </c>
      <c r="B26" s="1" t="str">
        <f ca="1">IFERROR(__xludf.DUMMYFUNCTION("""COMPUTED_VALUE"""),"Hanover")</f>
        <v>Hanover</v>
      </c>
      <c r="C26" s="1" t="str">
        <f ca="1">IFERROR(__xludf.DUMMYFUNCTION("""COMPUTED_VALUE"""),"Walmart Hanover")</f>
        <v>Walmart Hanover</v>
      </c>
      <c r="D26" s="1" t="str">
        <f ca="1">IFERROR(__xludf.DUMMYFUNCTION("""COMPUTED_VALUE"""),"7081 Arundel Mills Cir Hanover, MD 21076")</f>
        <v>7081 Arundel Mills Cir Hanover, MD 21076</v>
      </c>
      <c r="E26" s="1" t="str">
        <f ca="1">IFERROR(__xludf.DUMMYFUNCTION("""COMPUTED_VALUE"""),"Yes")</f>
        <v>Yes</v>
      </c>
      <c r="F26" s="1" t="str">
        <f ca="1">IFERROR(__xludf.DUMMYFUNCTION("""COMPUTED_VALUE"""),"Pharmacy")</f>
        <v>Pharmacy</v>
      </c>
      <c r="G26" s="1"/>
      <c r="H26" s="1"/>
      <c r="I26" s="2" t="str">
        <f ca="1">IFERROR(__xludf.DUMMYFUNCTION("""COMPUTED_VALUE"""),"https://walmart.com/covidvaccine")</f>
        <v>https://walmart.com/covidvaccine</v>
      </c>
      <c r="J26" s="1"/>
      <c r="K26" s="1" t="str">
        <f ca="1">IFERROR(__xludf.DUMMYFUNCTION("""COMPUTED_VALUE"""),"410-579-2953")</f>
        <v>410-579-2953</v>
      </c>
      <c r="L26" s="1"/>
      <c r="M26" s="1" t="str">
        <f ca="1">IFERROR(__xludf.DUMMYFUNCTION("""COMPUTED_VALUE"""),"Schedule an appointment using the button below")</f>
        <v>Schedule an appointment using the button below</v>
      </c>
      <c r="N26" s="1"/>
      <c r="O26" s="1" t="str">
        <f ca="1">IFERROR(__xludf.DUMMYFUNCTION("""COMPUTED_VALUE"""),"Yes")</f>
        <v>Yes</v>
      </c>
      <c r="P26" s="1" t="str">
        <f ca="1">IFERROR(__xludf.DUMMYFUNCTION("""COMPUTED_VALUE"""),"21076")</f>
        <v>21076</v>
      </c>
      <c r="Q26" s="1" t="str">
        <f ca="1">IFERROR(__xludf.DUMMYFUNCTION("""COMPUTED_VALUE"""),"Yes")</f>
        <v>Yes</v>
      </c>
      <c r="R26" s="1" t="str">
        <f ca="1">IFERROR(__xludf.DUMMYFUNCTION("""COMPUTED_VALUE"""),"No")</f>
        <v>No</v>
      </c>
      <c r="S26" s="1" t="str">
        <f ca="1">IFERROR(__xludf.DUMMYFUNCTION("""COMPUTED_VALUE"""),"Yes")</f>
        <v>Yes</v>
      </c>
      <c r="T26" s="1" t="str">
        <f ca="1">IFERROR(__xludf.DUMMYFUNCTION("""COMPUTED_VALUE"""),"Yes")</f>
        <v>Yes</v>
      </c>
    </row>
    <row r="27" spans="1:20" ht="13" x14ac:dyDescent="0.6">
      <c r="A27" s="1" t="str">
        <f ca="1">IFERROR(__xludf.DUMMYFUNCTION("""COMPUTED_VALUE"""),"Anne Arundel")</f>
        <v>Anne Arundel</v>
      </c>
      <c r="B27" s="1" t="str">
        <f ca="1">IFERROR(__xludf.DUMMYFUNCTION("""COMPUTED_VALUE"""),"Annapolis")</f>
        <v>Annapolis</v>
      </c>
      <c r="C27" s="1" t="str">
        <f ca="1">IFERROR(__xludf.DUMMYFUNCTION("""COMPUTED_VALUE"""),"Sam's Club Annapolis")</f>
        <v>Sam's Club Annapolis</v>
      </c>
      <c r="D27" s="1" t="str">
        <f ca="1">IFERROR(__xludf.DUMMYFUNCTION("""COMPUTED_VALUE"""),"2100 Generals Hwy Annapolis, MD 21401")</f>
        <v>2100 Generals Hwy Annapolis, MD 21401</v>
      </c>
      <c r="E27" s="1" t="str">
        <f ca="1">IFERROR(__xludf.DUMMYFUNCTION("""COMPUTED_VALUE"""),"Yes")</f>
        <v>Yes</v>
      </c>
      <c r="F27" s="1" t="str">
        <f ca="1">IFERROR(__xludf.DUMMYFUNCTION("""COMPUTED_VALUE"""),"Pharmacy")</f>
        <v>Pharmacy</v>
      </c>
      <c r="G27" s="1"/>
      <c r="H27" s="1"/>
      <c r="I27" s="2" t="str">
        <f ca="1">IFERROR(__xludf.DUMMYFUNCTION("""COMPUTED_VALUE"""),"https://www.samsclub.com/pharmacy")</f>
        <v>https://www.samsclub.com/pharmacy</v>
      </c>
      <c r="J27" s="1"/>
      <c r="K27" s="1" t="str">
        <f ca="1">IFERROR(__xludf.DUMMYFUNCTION("""COMPUTED_VALUE"""),"410-224-7669")</f>
        <v>410-224-7669</v>
      </c>
      <c r="L27" s="1"/>
      <c r="M27" s="1" t="str">
        <f ca="1">IFERROR(__xludf.DUMMYFUNCTION("""COMPUTED_VALUE"""),"Schedule an appointment using the button below")</f>
        <v>Schedule an appointment using the button below</v>
      </c>
      <c r="N27" s="1"/>
      <c r="O27" s="1"/>
      <c r="P27" s="1" t="str">
        <f ca="1">IFERROR(__xludf.DUMMYFUNCTION("""COMPUTED_VALUE"""),"21401")</f>
        <v>21401</v>
      </c>
      <c r="Q27" s="1" t="str">
        <f ca="1">IFERROR(__xludf.DUMMYFUNCTION("""COMPUTED_VALUE"""),"No")</f>
        <v>No</v>
      </c>
      <c r="R27" s="1" t="str">
        <f ca="1">IFERROR(__xludf.DUMMYFUNCTION("""COMPUTED_VALUE"""),"Yes")</f>
        <v>Yes</v>
      </c>
      <c r="S27" s="1" t="str">
        <f ca="1">IFERROR(__xludf.DUMMYFUNCTION("""COMPUTED_VALUE"""),"Yes")</f>
        <v>Yes</v>
      </c>
      <c r="T27" s="1" t="str">
        <f ca="1">IFERROR(__xludf.DUMMYFUNCTION("""COMPUTED_VALUE"""),"Yes")</f>
        <v>Yes</v>
      </c>
    </row>
    <row r="28" spans="1:20" ht="13" x14ac:dyDescent="0.6">
      <c r="A28" s="1" t="str">
        <f ca="1">IFERROR(__xludf.DUMMYFUNCTION("""COMPUTED_VALUE"""),"Anne Arundel")</f>
        <v>Anne Arundel</v>
      </c>
      <c r="B28" s="1" t="str">
        <f ca="1">IFERROR(__xludf.DUMMYFUNCTION("""COMPUTED_VALUE"""),"Glen Burnie")</f>
        <v>Glen Burnie</v>
      </c>
      <c r="C28" s="1" t="str">
        <f ca="1">IFERROR(__xludf.DUMMYFUNCTION("""COMPUTED_VALUE"""),"Soleil Pharmacy")</f>
        <v>Soleil Pharmacy</v>
      </c>
      <c r="D28" s="1" t="str">
        <f ca="1">IFERROR(__xludf.DUMMYFUNCTION("""COMPUTED_VALUE"""),"801 Landmark Dr Suite B Glen Burnie, MD 21061")</f>
        <v>801 Landmark Dr Suite B Glen Burnie, MD 21061</v>
      </c>
      <c r="E28" s="1" t="str">
        <f ca="1">IFERROR(__xludf.DUMMYFUNCTION("""COMPUTED_VALUE"""),"Yes")</f>
        <v>Yes</v>
      </c>
      <c r="F28" s="1" t="str">
        <f ca="1">IFERROR(__xludf.DUMMYFUNCTION("""COMPUTED_VALUE"""),"Pharmacy")</f>
        <v>Pharmacy</v>
      </c>
      <c r="G28" s="2" t="str">
        <f ca="1">IFERROR(__xludf.DUMMYFUNCTION("""COMPUTED_VALUE"""),"https://www.soleilpharmacy.com")</f>
        <v>https://www.soleilpharmacy.com</v>
      </c>
      <c r="H28" s="1"/>
      <c r="I28" s="2" t="str">
        <f ca="1">IFERROR(__xludf.DUMMYFUNCTION("""COMPUTED_VALUE"""),"https://soleilpharmacy.com/covid-19-status-update/")</f>
        <v>https://soleilpharmacy.com/covid-19-status-update/</v>
      </c>
      <c r="J28" s="1"/>
      <c r="K28" s="1" t="str">
        <f ca="1">IFERROR(__xludf.DUMMYFUNCTION("""COMPUTED_VALUE"""),"443-281-9157")</f>
        <v>443-281-9157</v>
      </c>
      <c r="L28" s="1"/>
      <c r="M28" s="1" t="str">
        <f ca="1">IFERROR(__xludf.DUMMYFUNCTION("""COMPUTED_VALUE"""),"Contact the site to schedule an appointment")</f>
        <v>Contact the site to schedule an appointment</v>
      </c>
      <c r="N28" s="1"/>
      <c r="O28" s="1"/>
      <c r="P28" s="1" t="str">
        <f ca="1">IFERROR(__xludf.DUMMYFUNCTION("""COMPUTED_VALUE"""),"21061")</f>
        <v>21061</v>
      </c>
      <c r="Q28" s="1" t="str">
        <f ca="1">IFERROR(__xludf.DUMMYFUNCTION("""COMPUTED_VALUE"""),"Yes")</f>
        <v>Yes</v>
      </c>
      <c r="R28" s="1" t="str">
        <f ca="1">IFERROR(__xludf.DUMMYFUNCTION("""COMPUTED_VALUE"""),"No")</f>
        <v>No</v>
      </c>
      <c r="S28" s="1" t="str">
        <f ca="1">IFERROR(__xludf.DUMMYFUNCTION("""COMPUTED_VALUE"""),"No")</f>
        <v>No</v>
      </c>
      <c r="T28" s="1" t="str">
        <f ca="1">IFERROR(__xludf.DUMMYFUNCTION("""COMPUTED_VALUE"""),"Yes")</f>
        <v>Yes</v>
      </c>
    </row>
    <row r="29" spans="1:20" ht="13" x14ac:dyDescent="0.6">
      <c r="A29" s="1" t="str">
        <f ca="1">IFERROR(__xludf.DUMMYFUNCTION("""COMPUTED_VALUE"""),"Anne Arundel")</f>
        <v>Anne Arundel</v>
      </c>
      <c r="B29" s="1" t="str">
        <f ca="1">IFERROR(__xludf.DUMMYFUNCTION("""COMPUTED_VALUE"""),"Pasadena")</f>
        <v>Pasadena</v>
      </c>
      <c r="C29" s="1" t="str">
        <f ca="1">IFERROR(__xludf.DUMMYFUNCTION("""COMPUTED_VALUE"""),"Lake Shore Drugs")</f>
        <v>Lake Shore Drugs</v>
      </c>
      <c r="D29" s="1" t="str">
        <f ca="1">IFERROR(__xludf.DUMMYFUNCTION("""COMPUTED_VALUE"""),"3820 Mountain Road Unit G, Pasadena, MD 21122")</f>
        <v>3820 Mountain Road Unit G, Pasadena, MD 21122</v>
      </c>
      <c r="E29" s="1" t="str">
        <f ca="1">IFERROR(__xludf.DUMMYFUNCTION("""COMPUTED_VALUE"""),"Yes")</f>
        <v>Yes</v>
      </c>
      <c r="F29" s="1" t="str">
        <f ca="1">IFERROR(__xludf.DUMMYFUNCTION("""COMPUTED_VALUE"""),"Pharmacy")</f>
        <v>Pharmacy</v>
      </c>
      <c r="G29" s="1"/>
      <c r="H29" s="1"/>
      <c r="I29" s="1"/>
      <c r="J29" s="1"/>
      <c r="K29" s="1" t="str">
        <f ca="1">IFERROR(__xludf.DUMMYFUNCTION("""COMPUTED_VALUE"""),"410-255-0099")</f>
        <v>410-255-0099</v>
      </c>
      <c r="L29" s="1"/>
      <c r="M29" s="1" t="str">
        <f ca="1">IFERROR(__xludf.DUMMYFUNCTION("""COMPUTED_VALUE"""),"Contact the site to schedule an appointment")</f>
        <v>Contact the site to schedule an appointment</v>
      </c>
      <c r="N29" s="1"/>
      <c r="O29" s="1"/>
      <c r="P29" s="1" t="str">
        <f ca="1">IFERROR(__xludf.DUMMYFUNCTION("""COMPUTED_VALUE"""),"21122")</f>
        <v>21122</v>
      </c>
      <c r="Q29" s="1" t="str">
        <f ca="1">IFERROR(__xludf.DUMMYFUNCTION("""COMPUTED_VALUE"""),"No")</f>
        <v>No</v>
      </c>
      <c r="R29" s="1" t="str">
        <f ca="1">IFERROR(__xludf.DUMMYFUNCTION("""COMPUTED_VALUE"""),"No")</f>
        <v>No</v>
      </c>
      <c r="S29" s="1" t="str">
        <f ca="1">IFERROR(__xludf.DUMMYFUNCTION("""COMPUTED_VALUE"""),"No")</f>
        <v>No</v>
      </c>
      <c r="T29" s="1" t="str">
        <f ca="1">IFERROR(__xludf.DUMMYFUNCTION("""COMPUTED_VALUE"""),"Yes")</f>
        <v>Yes</v>
      </c>
    </row>
    <row r="30" spans="1:20" ht="13" x14ac:dyDescent="0.6">
      <c r="A30" s="1" t="str">
        <f ca="1">IFERROR(__xludf.DUMMYFUNCTION("""COMPUTED_VALUE"""),"Anne Arundel")</f>
        <v>Anne Arundel</v>
      </c>
      <c r="B30" s="1" t="str">
        <f ca="1">IFERROR(__xludf.DUMMYFUNCTION("""COMPUTED_VALUE"""),"Annapolis")</f>
        <v>Annapolis</v>
      </c>
      <c r="C30" s="1" t="str">
        <f ca="1">IFERROR(__xludf.DUMMYFUNCTION("""COMPUTED_VALUE"""),"CVS Annapolis")</f>
        <v>CVS Annapolis</v>
      </c>
      <c r="D30" s="1" t="str">
        <f ca="1">IFERROR(__xludf.DUMMYFUNCTION("""COMPUTED_VALUE"""),"1911 Towne Centre Blvd, Annapolis, MD 21401")</f>
        <v>1911 Towne Centre Blvd, Annapolis, MD 21401</v>
      </c>
      <c r="E30" s="1" t="str">
        <f ca="1">IFERROR(__xludf.DUMMYFUNCTION("""COMPUTED_VALUE"""),"Yes")</f>
        <v>Yes</v>
      </c>
      <c r="F30" s="1" t="str">
        <f ca="1">IFERROR(__xludf.DUMMYFUNCTION("""COMPUTED_VALUE"""),"Pharmacy")</f>
        <v>Pharmacy</v>
      </c>
      <c r="G30" s="1"/>
      <c r="H30" s="1"/>
      <c r="I30" s="2" t="str">
        <f ca="1">IFERROR(__xludf.DUMMYFUNCTION("""COMPUTED_VALUE"""),"https://www.cvs.com/immunizations/covid-19-vaccine")</f>
        <v>https://www.cvs.com/immunizations/covid-19-vaccine</v>
      </c>
      <c r="J30" s="1" t="str">
        <f ca="1">IFERROR(__xludf.DUMMYFUNCTION("""COMPUTED_VALUE"""),"Yes")</f>
        <v>Yes</v>
      </c>
      <c r="K30" s="1" t="str">
        <f ca="1">IFERROR(__xludf.DUMMYFUNCTION("""COMPUTED_VALUE"""),"800-746-7287")</f>
        <v>800-746-7287</v>
      </c>
      <c r="L30" s="1"/>
      <c r="M30" s="1" t="str">
        <f ca="1">IFERROR(__xludf.DUMMYFUNCTION("""COMPUTED_VALUE"""),"Schedule an appointment using the button below")</f>
        <v>Schedule an appointment using the button below</v>
      </c>
      <c r="N30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0" s="1" t="str">
        <f ca="1">IFERROR(__xludf.DUMMYFUNCTION("""COMPUTED_VALUE"""),"Yes")</f>
        <v>Yes</v>
      </c>
      <c r="P30" s="1" t="str">
        <f ca="1">IFERROR(__xludf.DUMMYFUNCTION("""COMPUTED_VALUE"""),"21401")</f>
        <v>21401</v>
      </c>
      <c r="Q30" s="1" t="str">
        <f ca="1">IFERROR(__xludf.DUMMYFUNCTION("""COMPUTED_VALUE"""),"Yes")</f>
        <v>Yes</v>
      </c>
      <c r="R30" s="1" t="str">
        <f ca="1">IFERROR(__xludf.DUMMYFUNCTION("""COMPUTED_VALUE"""),"No")</f>
        <v>No</v>
      </c>
      <c r="S30" s="1" t="str">
        <f ca="1">IFERROR(__xludf.DUMMYFUNCTION("""COMPUTED_VALUE"""),"No")</f>
        <v>No</v>
      </c>
      <c r="T30" s="1" t="str">
        <f ca="1">IFERROR(__xludf.DUMMYFUNCTION("""COMPUTED_VALUE"""),"Yes")</f>
        <v>Yes</v>
      </c>
    </row>
    <row r="31" spans="1:20" ht="13" x14ac:dyDescent="0.6">
      <c r="A31" s="1" t="str">
        <f ca="1">IFERROR(__xludf.DUMMYFUNCTION("""COMPUTED_VALUE"""),"Anne Arundel")</f>
        <v>Anne Arundel</v>
      </c>
      <c r="B31" s="1" t="str">
        <f ca="1">IFERROR(__xludf.DUMMYFUNCTION("""COMPUTED_VALUE"""),"Glen Burnie")</f>
        <v>Glen Burnie</v>
      </c>
      <c r="C31" s="1" t="str">
        <f ca="1">IFERROR(__xludf.DUMMYFUNCTION("""COMPUTED_VALUE"""),"CVS Glen Burnie")</f>
        <v>CVS Glen Burnie</v>
      </c>
      <c r="D31" s="1" t="str">
        <f ca="1">IFERROR(__xludf.DUMMYFUNCTION("""COMPUTED_VALUE"""),"7951 Nolpark Ct, Glen Burnie, MD 21061")</f>
        <v>7951 Nolpark Ct, Glen Burnie, MD 21061</v>
      </c>
      <c r="E31" s="1" t="str">
        <f ca="1">IFERROR(__xludf.DUMMYFUNCTION("""COMPUTED_VALUE"""),"Yes")</f>
        <v>Yes</v>
      </c>
      <c r="F31" s="1" t="str">
        <f ca="1">IFERROR(__xludf.DUMMYFUNCTION("""COMPUTED_VALUE"""),"Pharmacy")</f>
        <v>Pharmacy</v>
      </c>
      <c r="G31" s="1"/>
      <c r="H31" s="1"/>
      <c r="I31" s="2" t="str">
        <f ca="1">IFERROR(__xludf.DUMMYFUNCTION("""COMPUTED_VALUE"""),"https://www.cvs.com/immunizations/covid-19-vaccine")</f>
        <v>https://www.cvs.com/immunizations/covid-19-vaccine</v>
      </c>
      <c r="J31" s="1" t="str">
        <f ca="1">IFERROR(__xludf.DUMMYFUNCTION("""COMPUTED_VALUE"""),"Yes")</f>
        <v>Yes</v>
      </c>
      <c r="K31" s="1" t="str">
        <f ca="1">IFERROR(__xludf.DUMMYFUNCTION("""COMPUTED_VALUE"""),"800-746-7287")</f>
        <v>800-746-7287</v>
      </c>
      <c r="L31" s="1"/>
      <c r="M31" s="1" t="str">
        <f ca="1">IFERROR(__xludf.DUMMYFUNCTION("""COMPUTED_VALUE"""),"Schedule an appointment using the button below")</f>
        <v>Schedule an appointment using the button below</v>
      </c>
      <c r="N31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1" s="1" t="str">
        <f ca="1">IFERROR(__xludf.DUMMYFUNCTION("""COMPUTED_VALUE"""),"Yes")</f>
        <v>Yes</v>
      </c>
      <c r="P31" s="1" t="str">
        <f ca="1">IFERROR(__xludf.DUMMYFUNCTION("""COMPUTED_VALUE"""),"21061")</f>
        <v>21061</v>
      </c>
      <c r="Q31" s="1" t="str">
        <f ca="1">IFERROR(__xludf.DUMMYFUNCTION("""COMPUTED_VALUE"""),"Yes")</f>
        <v>Yes</v>
      </c>
      <c r="R31" s="1" t="str">
        <f ca="1">IFERROR(__xludf.DUMMYFUNCTION("""COMPUTED_VALUE"""),"No")</f>
        <v>No</v>
      </c>
      <c r="S31" s="1" t="str">
        <f ca="1">IFERROR(__xludf.DUMMYFUNCTION("""COMPUTED_VALUE"""),"No")</f>
        <v>No</v>
      </c>
      <c r="T31" s="1" t="str">
        <f ca="1">IFERROR(__xludf.DUMMYFUNCTION("""COMPUTED_VALUE"""),"Yes")</f>
        <v>Yes</v>
      </c>
    </row>
    <row r="32" spans="1:20" ht="13" x14ac:dyDescent="0.6">
      <c r="A32" s="1" t="str">
        <f ca="1">IFERROR(__xludf.DUMMYFUNCTION("""COMPUTED_VALUE"""),"Anne Arundel")</f>
        <v>Anne Arundel</v>
      </c>
      <c r="B32" s="1" t="str">
        <f ca="1">IFERROR(__xludf.DUMMYFUNCTION("""COMPUTED_VALUE"""),"Edgewater")</f>
        <v>Edgewater</v>
      </c>
      <c r="C32" s="1" t="str">
        <f ca="1">IFERROR(__xludf.DUMMYFUNCTION("""COMPUTED_VALUE"""),"CVS Edgewater")</f>
        <v>CVS Edgewater</v>
      </c>
      <c r="D32" s="1" t="str">
        <f ca="1">IFERROR(__xludf.DUMMYFUNCTION("""COMPUTED_VALUE"""),"3025 Solomons Island Road, Edgewater, MD 21037")</f>
        <v>3025 Solomons Island Road, Edgewater, MD 21037</v>
      </c>
      <c r="E32" s="1" t="str">
        <f ca="1">IFERROR(__xludf.DUMMYFUNCTION("""COMPUTED_VALUE"""),"Yes")</f>
        <v>Yes</v>
      </c>
      <c r="F32" s="1" t="str">
        <f ca="1">IFERROR(__xludf.DUMMYFUNCTION("""COMPUTED_VALUE"""),"Pharmacy")</f>
        <v>Pharmacy</v>
      </c>
      <c r="G32" s="1"/>
      <c r="H32" s="1"/>
      <c r="I32" s="2" t="str">
        <f ca="1">IFERROR(__xludf.DUMMYFUNCTION("""COMPUTED_VALUE"""),"https://www.cvs.com/immunizations/covid-19-vaccine")</f>
        <v>https://www.cvs.com/immunizations/covid-19-vaccine</v>
      </c>
      <c r="J32" s="1" t="str">
        <f ca="1">IFERROR(__xludf.DUMMYFUNCTION("""COMPUTED_VALUE"""),"Yes")</f>
        <v>Yes</v>
      </c>
      <c r="K32" s="1" t="str">
        <f ca="1">IFERROR(__xludf.DUMMYFUNCTION("""COMPUTED_VALUE"""),"800-746-7287")</f>
        <v>800-746-7287</v>
      </c>
      <c r="L32" s="1"/>
      <c r="M32" s="1" t="str">
        <f ca="1">IFERROR(__xludf.DUMMYFUNCTION("""COMPUTED_VALUE"""),"Schedule an appointment using the button below")</f>
        <v>Schedule an appointment using the button below</v>
      </c>
      <c r="N32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2" s="1" t="str">
        <f ca="1">IFERROR(__xludf.DUMMYFUNCTION("""COMPUTED_VALUE"""),"Yes")</f>
        <v>Yes</v>
      </c>
      <c r="P32" s="1" t="str">
        <f ca="1">IFERROR(__xludf.DUMMYFUNCTION("""COMPUTED_VALUE"""),"21037")</f>
        <v>21037</v>
      </c>
      <c r="Q32" s="1" t="str">
        <f ca="1">IFERROR(__xludf.DUMMYFUNCTION("""COMPUTED_VALUE"""),"Yes")</f>
        <v>Yes</v>
      </c>
      <c r="R32" s="1" t="str">
        <f ca="1">IFERROR(__xludf.DUMMYFUNCTION("""COMPUTED_VALUE"""),"No")</f>
        <v>No</v>
      </c>
      <c r="S32" s="1" t="str">
        <f ca="1">IFERROR(__xludf.DUMMYFUNCTION("""COMPUTED_VALUE"""),"No")</f>
        <v>No</v>
      </c>
      <c r="T32" s="1" t="str">
        <f ca="1">IFERROR(__xludf.DUMMYFUNCTION("""COMPUTED_VALUE"""),"Yes")</f>
        <v>Yes</v>
      </c>
    </row>
    <row r="33" spans="1:20" ht="13" x14ac:dyDescent="0.6">
      <c r="A33" s="1" t="str">
        <f ca="1">IFERROR(__xludf.DUMMYFUNCTION("""COMPUTED_VALUE"""),"Anne Arundel")</f>
        <v>Anne Arundel</v>
      </c>
      <c r="B33" s="1" t="str">
        <f ca="1">IFERROR(__xludf.DUMMYFUNCTION("""COMPUTED_VALUE"""),"Annapolis")</f>
        <v>Annapolis</v>
      </c>
      <c r="C33" s="1" t="str">
        <f ca="1">IFERROR(__xludf.DUMMYFUNCTION("""COMPUTED_VALUE"""),"CVS Annapolis")</f>
        <v>CVS Annapolis</v>
      </c>
      <c r="D33" s="1" t="str">
        <f ca="1">IFERROR(__xludf.DUMMYFUNCTION("""COMPUTED_VALUE"""),"2601 Riva Road, Annapolis, MD 21401")</f>
        <v>2601 Riva Road, Annapolis, MD 21401</v>
      </c>
      <c r="E33" s="1" t="str">
        <f ca="1">IFERROR(__xludf.DUMMYFUNCTION("""COMPUTED_VALUE"""),"Yes")</f>
        <v>Yes</v>
      </c>
      <c r="F33" s="1" t="str">
        <f ca="1">IFERROR(__xludf.DUMMYFUNCTION("""COMPUTED_VALUE"""),"Pharmacy")</f>
        <v>Pharmacy</v>
      </c>
      <c r="G33" s="1"/>
      <c r="H33" s="1"/>
      <c r="I33" s="2" t="str">
        <f ca="1">IFERROR(__xludf.DUMMYFUNCTION("""COMPUTED_VALUE"""),"https://www.cvs.com/immunizations/covid-19-vaccine")</f>
        <v>https://www.cvs.com/immunizations/covid-19-vaccine</v>
      </c>
      <c r="J33" s="1" t="str">
        <f ca="1">IFERROR(__xludf.DUMMYFUNCTION("""COMPUTED_VALUE"""),"Yes")</f>
        <v>Yes</v>
      </c>
      <c r="K33" s="1" t="str">
        <f ca="1">IFERROR(__xludf.DUMMYFUNCTION("""COMPUTED_VALUE"""),"800-746-7287")</f>
        <v>800-746-7287</v>
      </c>
      <c r="L33" s="1"/>
      <c r="M33" s="1" t="str">
        <f ca="1">IFERROR(__xludf.DUMMYFUNCTION("""COMPUTED_VALUE"""),"Schedule an appointment using the button below")</f>
        <v>Schedule an appointment using the button below</v>
      </c>
      <c r="N3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3" s="1" t="str">
        <f ca="1">IFERROR(__xludf.DUMMYFUNCTION("""COMPUTED_VALUE"""),"Yes")</f>
        <v>Yes</v>
      </c>
      <c r="P33" s="1" t="str">
        <f ca="1">IFERROR(__xludf.DUMMYFUNCTION("""COMPUTED_VALUE"""),"21401")</f>
        <v>21401</v>
      </c>
      <c r="Q33" s="1" t="str">
        <f ca="1">IFERROR(__xludf.DUMMYFUNCTION("""COMPUTED_VALUE"""),"Yes")</f>
        <v>Yes</v>
      </c>
      <c r="R33" s="1" t="str">
        <f ca="1">IFERROR(__xludf.DUMMYFUNCTION("""COMPUTED_VALUE"""),"No")</f>
        <v>No</v>
      </c>
      <c r="S33" s="1" t="str">
        <f ca="1">IFERROR(__xludf.DUMMYFUNCTION("""COMPUTED_VALUE"""),"No")</f>
        <v>No</v>
      </c>
      <c r="T33" s="1" t="str">
        <f ca="1">IFERROR(__xludf.DUMMYFUNCTION("""COMPUTED_VALUE"""),"Yes")</f>
        <v>Yes</v>
      </c>
    </row>
    <row r="34" spans="1:20" ht="13" x14ac:dyDescent="0.6">
      <c r="A34" s="1" t="str">
        <f ca="1">IFERROR(__xludf.DUMMYFUNCTION("""COMPUTED_VALUE"""),"Anne Arundel")</f>
        <v>Anne Arundel</v>
      </c>
      <c r="B34" s="1" t="str">
        <f ca="1">IFERROR(__xludf.DUMMYFUNCTION("""COMPUTED_VALUE"""),"Crofton")</f>
        <v>Crofton</v>
      </c>
      <c r="C34" s="1" t="str">
        <f ca="1">IFERROR(__xludf.DUMMYFUNCTION("""COMPUTED_VALUE"""),"CVS Crofton")</f>
        <v>CVS Crofton</v>
      </c>
      <c r="D34" s="1" t="str">
        <f ca="1">IFERROR(__xludf.DUMMYFUNCTION("""COMPUTED_VALUE"""),"2003 Davidsonville Road, Crofton, MD 21114")</f>
        <v>2003 Davidsonville Road, Crofton, MD 21114</v>
      </c>
      <c r="E34" s="1" t="str">
        <f ca="1">IFERROR(__xludf.DUMMYFUNCTION("""COMPUTED_VALUE"""),"Yes")</f>
        <v>Yes</v>
      </c>
      <c r="F34" s="1" t="str">
        <f ca="1">IFERROR(__xludf.DUMMYFUNCTION("""COMPUTED_VALUE"""),"Pharmacy")</f>
        <v>Pharmacy</v>
      </c>
      <c r="G34" s="1"/>
      <c r="H34" s="1"/>
      <c r="I34" s="2" t="str">
        <f ca="1">IFERROR(__xludf.DUMMYFUNCTION("""COMPUTED_VALUE"""),"https://www.cvs.com/immunizations/covid-19-vaccine")</f>
        <v>https://www.cvs.com/immunizations/covid-19-vaccine</v>
      </c>
      <c r="J34" s="1" t="str">
        <f ca="1">IFERROR(__xludf.DUMMYFUNCTION("""COMPUTED_VALUE"""),"Yes")</f>
        <v>Yes</v>
      </c>
      <c r="K34" s="1" t="str">
        <f ca="1">IFERROR(__xludf.DUMMYFUNCTION("""COMPUTED_VALUE"""),"800-746-7287")</f>
        <v>800-746-7287</v>
      </c>
      <c r="L34" s="1"/>
      <c r="M34" s="1" t="str">
        <f ca="1">IFERROR(__xludf.DUMMYFUNCTION("""COMPUTED_VALUE"""),"Schedule an appointment using the button below")</f>
        <v>Schedule an appointment using the button below</v>
      </c>
      <c r="N34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4" s="1" t="str">
        <f ca="1">IFERROR(__xludf.DUMMYFUNCTION("""COMPUTED_VALUE"""),"Yes")</f>
        <v>Yes</v>
      </c>
      <c r="P34" s="1" t="str">
        <f ca="1">IFERROR(__xludf.DUMMYFUNCTION("""COMPUTED_VALUE"""),"21114")</f>
        <v>21114</v>
      </c>
      <c r="Q34" s="1" t="str">
        <f ca="1">IFERROR(__xludf.DUMMYFUNCTION("""COMPUTED_VALUE"""),"Yes")</f>
        <v>Yes</v>
      </c>
      <c r="R34" s="1" t="str">
        <f ca="1">IFERROR(__xludf.DUMMYFUNCTION("""COMPUTED_VALUE"""),"No")</f>
        <v>No</v>
      </c>
      <c r="S34" s="1" t="str">
        <f ca="1">IFERROR(__xludf.DUMMYFUNCTION("""COMPUTED_VALUE"""),"No")</f>
        <v>No</v>
      </c>
      <c r="T34" s="1" t="str">
        <f ca="1">IFERROR(__xludf.DUMMYFUNCTION("""COMPUTED_VALUE"""),"Yes")</f>
        <v>Yes</v>
      </c>
    </row>
    <row r="35" spans="1:20" ht="13" x14ac:dyDescent="0.6">
      <c r="A35" s="1" t="str">
        <f ca="1">IFERROR(__xludf.DUMMYFUNCTION("""COMPUTED_VALUE"""),"Anne Arundel")</f>
        <v>Anne Arundel</v>
      </c>
      <c r="B35" s="1" t="str">
        <f ca="1">IFERROR(__xludf.DUMMYFUNCTION("""COMPUTED_VALUE"""),"Hanover")</f>
        <v>Hanover</v>
      </c>
      <c r="C35" s="1" t="str">
        <f ca="1">IFERROR(__xludf.DUMMYFUNCTION("""COMPUTED_VALUE"""),"CVS Hanover")</f>
        <v>CVS Hanover</v>
      </c>
      <c r="D35" s="1" t="str">
        <f ca="1">IFERROR(__xludf.DUMMYFUNCTION("""COMPUTED_VALUE"""),"7706 Milestone Parkway, Hanover, MD 21076")</f>
        <v>7706 Milestone Parkway, Hanover, MD 21076</v>
      </c>
      <c r="E35" s="1" t="str">
        <f ca="1">IFERROR(__xludf.DUMMYFUNCTION("""COMPUTED_VALUE"""),"Yes")</f>
        <v>Yes</v>
      </c>
      <c r="F35" s="1" t="str">
        <f ca="1">IFERROR(__xludf.DUMMYFUNCTION("""COMPUTED_VALUE"""),"Pharmacy")</f>
        <v>Pharmacy</v>
      </c>
      <c r="G35" s="1"/>
      <c r="H35" s="1"/>
      <c r="I35" s="2" t="str">
        <f ca="1">IFERROR(__xludf.DUMMYFUNCTION("""COMPUTED_VALUE"""),"https://www.cvs.com/immunizations/covid-19-vaccine")</f>
        <v>https://www.cvs.com/immunizations/covid-19-vaccine</v>
      </c>
      <c r="J35" s="1" t="str">
        <f ca="1">IFERROR(__xludf.DUMMYFUNCTION("""COMPUTED_VALUE"""),"Yes")</f>
        <v>Yes</v>
      </c>
      <c r="K35" s="1" t="str">
        <f ca="1">IFERROR(__xludf.DUMMYFUNCTION("""COMPUTED_VALUE"""),"800-746-7287")</f>
        <v>800-746-7287</v>
      </c>
      <c r="L35" s="1"/>
      <c r="M35" s="1" t="str">
        <f ca="1">IFERROR(__xludf.DUMMYFUNCTION("""COMPUTED_VALUE"""),"Schedule an appointment using the button below")</f>
        <v>Schedule an appointment using the button below</v>
      </c>
      <c r="N35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5" s="1" t="str">
        <f ca="1">IFERROR(__xludf.DUMMYFUNCTION("""COMPUTED_VALUE"""),"Yes")</f>
        <v>Yes</v>
      </c>
      <c r="P35" s="1" t="str">
        <f ca="1">IFERROR(__xludf.DUMMYFUNCTION("""COMPUTED_VALUE"""),"21076")</f>
        <v>21076</v>
      </c>
      <c r="Q35" s="1" t="str">
        <f ca="1">IFERROR(__xludf.DUMMYFUNCTION("""COMPUTED_VALUE"""),"Yes")</f>
        <v>Yes</v>
      </c>
      <c r="R35" s="1" t="str">
        <f ca="1">IFERROR(__xludf.DUMMYFUNCTION("""COMPUTED_VALUE"""),"No")</f>
        <v>No</v>
      </c>
      <c r="S35" s="1" t="str">
        <f ca="1">IFERROR(__xludf.DUMMYFUNCTION("""COMPUTED_VALUE"""),"No")</f>
        <v>No</v>
      </c>
      <c r="T35" s="1" t="str">
        <f ca="1">IFERROR(__xludf.DUMMYFUNCTION("""COMPUTED_VALUE"""),"Yes")</f>
        <v>Yes</v>
      </c>
    </row>
    <row r="36" spans="1:20" ht="13" x14ac:dyDescent="0.6">
      <c r="A36" s="1" t="str">
        <f ca="1">IFERROR(__xludf.DUMMYFUNCTION("""COMPUTED_VALUE"""),"Anne Arundel")</f>
        <v>Anne Arundel</v>
      </c>
      <c r="B36" s="1" t="str">
        <f ca="1">IFERROR(__xludf.DUMMYFUNCTION("""COMPUTED_VALUE"""),"Glen Burnie")</f>
        <v>Glen Burnie</v>
      </c>
      <c r="C36" s="1" t="str">
        <f ca="1">IFERROR(__xludf.DUMMYFUNCTION("""COMPUTED_VALUE"""),"CVS Glen Burnie")</f>
        <v>CVS Glen Burnie</v>
      </c>
      <c r="D36" s="1" t="str">
        <f ca="1">IFERROR(__xludf.DUMMYFUNCTION("""COMPUTED_VALUE"""),"7095 Baltimore Annapolis Rd, Glen Burnie, MD 21061")</f>
        <v>7095 Baltimore Annapolis Rd, Glen Burnie, MD 21061</v>
      </c>
      <c r="E36" s="1" t="str">
        <f ca="1">IFERROR(__xludf.DUMMYFUNCTION("""COMPUTED_VALUE"""),"Yes")</f>
        <v>Yes</v>
      </c>
      <c r="F36" s="1" t="str">
        <f ca="1">IFERROR(__xludf.DUMMYFUNCTION("""COMPUTED_VALUE"""),"Pharmacy")</f>
        <v>Pharmacy</v>
      </c>
      <c r="G36" s="1"/>
      <c r="H36" s="1"/>
      <c r="I36" s="2" t="str">
        <f ca="1">IFERROR(__xludf.DUMMYFUNCTION("""COMPUTED_VALUE"""),"https://www.cvs.com/immunizations/covid-19-vaccine")</f>
        <v>https://www.cvs.com/immunizations/covid-19-vaccine</v>
      </c>
      <c r="J36" s="1" t="str">
        <f ca="1">IFERROR(__xludf.DUMMYFUNCTION("""COMPUTED_VALUE"""),"Yes")</f>
        <v>Yes</v>
      </c>
      <c r="K36" s="1" t="str">
        <f ca="1">IFERROR(__xludf.DUMMYFUNCTION("""COMPUTED_VALUE"""),"800-746-7287")</f>
        <v>800-746-7287</v>
      </c>
      <c r="L36" s="1"/>
      <c r="M36" s="1" t="str">
        <f ca="1">IFERROR(__xludf.DUMMYFUNCTION("""COMPUTED_VALUE"""),"Schedule an appointment using the button below")</f>
        <v>Schedule an appointment using the button below</v>
      </c>
      <c r="N36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36" s="1"/>
      <c r="P36" s="1" t="str">
        <f ca="1">IFERROR(__xludf.DUMMYFUNCTION("""COMPUTED_VALUE"""),"21061")</f>
        <v>21061</v>
      </c>
      <c r="Q36" s="1" t="str">
        <f ca="1">IFERROR(__xludf.DUMMYFUNCTION("""COMPUTED_VALUE"""),"Yes")</f>
        <v>Yes</v>
      </c>
      <c r="R36" s="1" t="str">
        <f ca="1">IFERROR(__xludf.DUMMYFUNCTION("""COMPUTED_VALUE"""),"No")</f>
        <v>No</v>
      </c>
      <c r="S36" s="1" t="str">
        <f ca="1">IFERROR(__xludf.DUMMYFUNCTION("""COMPUTED_VALUE"""),"No")</f>
        <v>No</v>
      </c>
      <c r="T36" s="1" t="str">
        <f ca="1">IFERROR(__xludf.DUMMYFUNCTION("""COMPUTED_VALUE"""),"Yes")</f>
        <v>Yes</v>
      </c>
    </row>
    <row r="37" spans="1:20" ht="13" x14ac:dyDescent="0.6">
      <c r="A37" s="1" t="str">
        <f ca="1">IFERROR(__xludf.DUMMYFUNCTION("""COMPUTED_VALUE"""),"Anne Arundel")</f>
        <v>Anne Arundel</v>
      </c>
      <c r="B37" s="1" t="str">
        <f ca="1">IFERROR(__xludf.DUMMYFUNCTION("""COMPUTED_VALUE"""),"Severna Park")</f>
        <v>Severna Park</v>
      </c>
      <c r="C37" s="1" t="str">
        <f ca="1">IFERROR(__xludf.DUMMYFUNCTION("""COMPUTED_VALUE"""),"Harris Teeter Severna Park")</f>
        <v>Harris Teeter Severna Park</v>
      </c>
      <c r="D37" s="1" t="str">
        <f ca="1">IFERROR(__xludf.DUMMYFUNCTION("""COMPUTED_VALUE"""),"143 Ritchie Hwy N Severna Park, MD 21146")</f>
        <v>143 Ritchie Hwy N Severna Park, MD 21146</v>
      </c>
      <c r="E37" s="1" t="str">
        <f ca="1">IFERROR(__xludf.DUMMYFUNCTION("""COMPUTED_VALUE"""),"Yes")</f>
        <v>Yes</v>
      </c>
      <c r="F37" s="1" t="str">
        <f ca="1">IFERROR(__xludf.DUMMYFUNCTION("""COMPUTED_VALUE"""),"Pharmacy")</f>
        <v>Pharmacy</v>
      </c>
      <c r="G37" s="1"/>
      <c r="H37" s="1"/>
      <c r="I37" s="2" t="str">
        <f ca="1">IFERROR(__xludf.DUMMYFUNCTION("""COMPUTED_VALUE"""),"https://www.harristeeterpharmacy.com/rx/covid-eligibility")</f>
        <v>https://www.harristeeterpharmacy.com/rx/covid-eligibility</v>
      </c>
      <c r="J37" s="1" t="str">
        <f ca="1">IFERROR(__xludf.DUMMYFUNCTION("""COMPUTED_VALUE"""),"Yes")</f>
        <v>Yes</v>
      </c>
      <c r="K37" s="1"/>
      <c r="L37" s="1"/>
      <c r="M37" s="1" t="str">
        <f ca="1">IFERROR(__xludf.DUMMYFUNCTION("""COMPUTED_VALUE"""),"Schedule an appointment using the button below")</f>
        <v>Schedule an appointment using the button below</v>
      </c>
      <c r="N37" s="1"/>
      <c r="O37" s="1"/>
      <c r="P37" s="1" t="str">
        <f ca="1">IFERROR(__xludf.DUMMYFUNCTION("""COMPUTED_VALUE"""),"21146")</f>
        <v>21146</v>
      </c>
      <c r="Q37" s="1" t="str">
        <f ca="1">IFERROR(__xludf.DUMMYFUNCTION("""COMPUTED_VALUE"""),"Yes")</f>
        <v>Yes</v>
      </c>
      <c r="R37" s="1" t="str">
        <f ca="1">IFERROR(__xludf.DUMMYFUNCTION("""COMPUTED_VALUE"""),"Yes")</f>
        <v>Yes</v>
      </c>
      <c r="S37" s="1" t="str">
        <f ca="1">IFERROR(__xludf.DUMMYFUNCTION("""COMPUTED_VALUE"""),"No")</f>
        <v>No</v>
      </c>
      <c r="T37" s="1" t="str">
        <f ca="1">IFERROR(__xludf.DUMMYFUNCTION("""COMPUTED_VALUE"""),"Yes")</f>
        <v>Yes</v>
      </c>
    </row>
    <row r="38" spans="1:20" ht="13" x14ac:dyDescent="0.6">
      <c r="A38" s="1" t="str">
        <f ca="1">IFERROR(__xludf.DUMMYFUNCTION("""COMPUTED_VALUE"""),"Baltimore")</f>
        <v>Baltimore</v>
      </c>
      <c r="B38" s="1" t="str">
        <f ca="1">IFERROR(__xludf.DUMMYFUNCTION("""COMPUTED_VALUE"""),"Lutherville")</f>
        <v>Lutherville</v>
      </c>
      <c r="C38" s="1" t="str">
        <f ca="1">IFERROR(__xludf.DUMMYFUNCTION("""COMPUTED_VALUE"""),"Giant Food Lutherville")</f>
        <v>Giant Food Lutherville</v>
      </c>
      <c r="D38" s="1" t="str">
        <f ca="1">IFERROR(__xludf.DUMMYFUNCTION("""COMPUTED_VALUE"""),"2145 York Rd Lutherville MD 21093")</f>
        <v>2145 York Rd Lutherville MD 21093</v>
      </c>
      <c r="E38" s="1" t="str">
        <f ca="1">IFERROR(__xludf.DUMMYFUNCTION("""COMPUTED_VALUE"""),"Yes")</f>
        <v>Yes</v>
      </c>
      <c r="F38" s="1" t="str">
        <f ca="1">IFERROR(__xludf.DUMMYFUNCTION("""COMPUTED_VALUE"""),"Pharmacy")</f>
        <v>Pharmacy</v>
      </c>
      <c r="G38" s="1"/>
      <c r="H38" s="1"/>
      <c r="I38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38" s="1"/>
      <c r="K38" s="1" t="str">
        <f ca="1">IFERROR(__xludf.DUMMYFUNCTION("""COMPUTED_VALUE"""),"410-308-9792")</f>
        <v>410-308-9792</v>
      </c>
      <c r="L38" s="1"/>
      <c r="M38" s="1" t="str">
        <f ca="1">IFERROR(__xludf.DUMMYFUNCTION("""COMPUTED_VALUE"""),"Schedule an appointment using the button below")</f>
        <v>Schedule an appointment using the button below</v>
      </c>
      <c r="N38" s="1"/>
      <c r="O38" s="1" t="str">
        <f ca="1">IFERROR(__xludf.DUMMYFUNCTION("""COMPUTED_VALUE"""),"Yes")</f>
        <v>Yes</v>
      </c>
      <c r="P38" s="1" t="str">
        <f ca="1">IFERROR(__xludf.DUMMYFUNCTION("""COMPUTED_VALUE"""),"21093")</f>
        <v>21093</v>
      </c>
      <c r="Q38" s="1" t="str">
        <f ca="1">IFERROR(__xludf.DUMMYFUNCTION("""COMPUTED_VALUE"""),"Yes")</f>
        <v>Yes</v>
      </c>
      <c r="R38" s="1" t="str">
        <f ca="1">IFERROR(__xludf.DUMMYFUNCTION("""COMPUTED_VALUE"""),"Yes")</f>
        <v>Yes</v>
      </c>
      <c r="S38" s="1" t="str">
        <f ca="1">IFERROR(__xludf.DUMMYFUNCTION("""COMPUTED_VALUE"""),"No")</f>
        <v>No</v>
      </c>
      <c r="T38" s="1" t="str">
        <f ca="1">IFERROR(__xludf.DUMMYFUNCTION("""COMPUTED_VALUE"""),"Yes")</f>
        <v>Yes</v>
      </c>
    </row>
    <row r="39" spans="1:20" ht="13" x14ac:dyDescent="0.6">
      <c r="A39" s="1" t="str">
        <f ca="1">IFERROR(__xludf.DUMMYFUNCTION("""COMPUTED_VALUE"""),"Baltimore")</f>
        <v>Baltimore</v>
      </c>
      <c r="B39" s="1" t="str">
        <f ca="1">IFERROR(__xludf.DUMMYFUNCTION("""COMPUTED_VALUE"""),"Dundalk")</f>
        <v>Dundalk</v>
      </c>
      <c r="C39" s="1" t="str">
        <f ca="1">IFERROR(__xludf.DUMMYFUNCTION("""COMPUTED_VALUE"""),"Giant Food Dundalk")</f>
        <v>Giant Food Dundalk</v>
      </c>
      <c r="D39" s="1" t="str">
        <f ca="1">IFERROR(__xludf.DUMMYFUNCTION("""COMPUTED_VALUE"""),"1400 Merritt Boulevard Dundalk MD 21222")</f>
        <v>1400 Merritt Boulevard Dundalk MD 21222</v>
      </c>
      <c r="E39" s="1" t="str">
        <f ca="1">IFERROR(__xludf.DUMMYFUNCTION("""COMPUTED_VALUE"""),"Yes")</f>
        <v>Yes</v>
      </c>
      <c r="F39" s="1" t="str">
        <f ca="1">IFERROR(__xludf.DUMMYFUNCTION("""COMPUTED_VALUE"""),"Pharmacy")</f>
        <v>Pharmacy</v>
      </c>
      <c r="G39" s="1"/>
      <c r="H39" s="1"/>
      <c r="I39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39" s="1"/>
      <c r="K39" s="1" t="str">
        <f ca="1">IFERROR(__xludf.DUMMYFUNCTION("""COMPUTED_VALUE"""),"410-631-1280")</f>
        <v>410-631-1280</v>
      </c>
      <c r="L39" s="1"/>
      <c r="M39" s="1" t="str">
        <f ca="1">IFERROR(__xludf.DUMMYFUNCTION("""COMPUTED_VALUE"""),"Schedule an appointment using the button below")</f>
        <v>Schedule an appointment using the button below</v>
      </c>
      <c r="N39" s="1"/>
      <c r="O39" s="1" t="str">
        <f ca="1">IFERROR(__xludf.DUMMYFUNCTION("""COMPUTED_VALUE"""),"Yes")</f>
        <v>Yes</v>
      </c>
      <c r="P39" s="1" t="str">
        <f ca="1">IFERROR(__xludf.DUMMYFUNCTION("""COMPUTED_VALUE"""),"21222")</f>
        <v>21222</v>
      </c>
      <c r="Q39" s="1" t="str">
        <f ca="1">IFERROR(__xludf.DUMMYFUNCTION("""COMPUTED_VALUE"""),"Yes")</f>
        <v>Yes</v>
      </c>
      <c r="R39" s="1" t="str">
        <f ca="1">IFERROR(__xludf.DUMMYFUNCTION("""COMPUTED_VALUE"""),"Yes")</f>
        <v>Yes</v>
      </c>
      <c r="S39" s="1" t="str">
        <f ca="1">IFERROR(__xludf.DUMMYFUNCTION("""COMPUTED_VALUE"""),"Yes")</f>
        <v>Yes</v>
      </c>
      <c r="T39" s="1" t="str">
        <f ca="1">IFERROR(__xludf.DUMMYFUNCTION("""COMPUTED_VALUE"""),"Yes")</f>
        <v>Yes</v>
      </c>
    </row>
    <row r="40" spans="1:20" ht="13" x14ac:dyDescent="0.6">
      <c r="A40" s="1" t="str">
        <f ca="1">IFERROR(__xludf.DUMMYFUNCTION("""COMPUTED_VALUE"""),"Baltimore")</f>
        <v>Baltimore</v>
      </c>
      <c r="B40" s="1" t="str">
        <f ca="1">IFERROR(__xludf.DUMMYFUNCTION("""COMPUTED_VALUE"""),"Catonsville")</f>
        <v>Catonsville</v>
      </c>
      <c r="C40" s="1" t="str">
        <f ca="1">IFERROR(__xludf.DUMMYFUNCTION("""COMPUTED_VALUE"""),"Walgreens Catonsville")</f>
        <v>Walgreens Catonsville</v>
      </c>
      <c r="D40" s="1" t="str">
        <f ca="1">IFERROR(__xludf.DUMMYFUNCTION("""COMPUTED_VALUE"""),"5657 Baltimore National Pike Catonsville MD 21228")</f>
        <v>5657 Baltimore National Pike Catonsville MD 21228</v>
      </c>
      <c r="E40" s="1" t="str">
        <f ca="1">IFERROR(__xludf.DUMMYFUNCTION("""COMPUTED_VALUE"""),"Yes")</f>
        <v>Yes</v>
      </c>
      <c r="F40" s="1" t="str">
        <f ca="1">IFERROR(__xludf.DUMMYFUNCTION("""COMPUTED_VALUE"""),"Pharmacy")</f>
        <v>Pharmacy</v>
      </c>
      <c r="G40" s="1"/>
      <c r="H40" s="1"/>
      <c r="I40" s="2" t="str">
        <f ca="1">IFERROR(__xludf.DUMMYFUNCTION("""COMPUTED_VALUE"""),"https://www.walgreens.com/schedulevaccine")</f>
        <v>https://www.walgreens.com/schedulevaccine</v>
      </c>
      <c r="J40" s="1"/>
      <c r="K40" s="1" t="str">
        <f ca="1">IFERROR(__xludf.DUMMYFUNCTION("""COMPUTED_VALUE"""),"1-800-WALGREENS")</f>
        <v>1-800-WALGREENS</v>
      </c>
      <c r="L40" s="1"/>
      <c r="M40" s="1" t="str">
        <f ca="1">IFERROR(__xludf.DUMMYFUNCTION("""COMPUTED_VALUE"""),"Schedule an appointment using the button below")</f>
        <v>Schedule an appointment using the button below</v>
      </c>
      <c r="N40" s="1"/>
      <c r="O40" s="1" t="str">
        <f ca="1">IFERROR(__xludf.DUMMYFUNCTION("""COMPUTED_VALUE"""),"Yes")</f>
        <v>Yes</v>
      </c>
      <c r="P40" s="1" t="str">
        <f ca="1">IFERROR(__xludf.DUMMYFUNCTION("""COMPUTED_VALUE"""),"21228")</f>
        <v>21228</v>
      </c>
      <c r="Q40" s="1" t="str">
        <f ca="1">IFERROR(__xludf.DUMMYFUNCTION("""COMPUTED_VALUE"""),"Yes")</f>
        <v>Yes</v>
      </c>
      <c r="R40" s="1" t="str">
        <f ca="1">IFERROR(__xludf.DUMMYFUNCTION("""COMPUTED_VALUE"""),"No")</f>
        <v>No</v>
      </c>
      <c r="S40" s="1" t="str">
        <f ca="1">IFERROR(__xludf.DUMMYFUNCTION("""COMPUTED_VALUE"""),"No")</f>
        <v>No</v>
      </c>
      <c r="T40" s="1" t="str">
        <f ca="1">IFERROR(__xludf.DUMMYFUNCTION("""COMPUTED_VALUE"""),"Yes")</f>
        <v>Yes</v>
      </c>
    </row>
    <row r="41" spans="1:20" ht="13" x14ac:dyDescent="0.6">
      <c r="A41" s="1" t="str">
        <f ca="1">IFERROR(__xludf.DUMMYFUNCTION("""COMPUTED_VALUE"""),"Baltimore")</f>
        <v>Baltimore</v>
      </c>
      <c r="B41" s="1" t="str">
        <f ca="1">IFERROR(__xludf.DUMMYFUNCTION("""COMPUTED_VALUE"""),"Rosedale")</f>
        <v>Rosedale</v>
      </c>
      <c r="C41" s="1" t="str">
        <f ca="1">IFERROR(__xludf.DUMMYFUNCTION("""COMPUTED_VALUE"""),"Walgreens Rosedale")</f>
        <v>Walgreens Rosedale</v>
      </c>
      <c r="D41" s="1" t="str">
        <f ca="1">IFERROR(__xludf.DUMMYFUNCTION("""COMPUTED_VALUE"""),"8606 Philadelphia Rd Rosedale MD 21237")</f>
        <v>8606 Philadelphia Rd Rosedale MD 21237</v>
      </c>
      <c r="E41" s="1" t="str">
        <f ca="1">IFERROR(__xludf.DUMMYFUNCTION("""COMPUTED_VALUE"""),"Yes")</f>
        <v>Yes</v>
      </c>
      <c r="F41" s="1" t="str">
        <f ca="1">IFERROR(__xludf.DUMMYFUNCTION("""COMPUTED_VALUE"""),"Pharmacy")</f>
        <v>Pharmacy</v>
      </c>
      <c r="G41" s="1"/>
      <c r="H41" s="1"/>
      <c r="I41" s="2" t="str">
        <f ca="1">IFERROR(__xludf.DUMMYFUNCTION("""COMPUTED_VALUE"""),"https://www.walgreens.com/schedulevaccine")</f>
        <v>https://www.walgreens.com/schedulevaccine</v>
      </c>
      <c r="J41" s="1"/>
      <c r="K41" s="1" t="str">
        <f ca="1">IFERROR(__xludf.DUMMYFUNCTION("""COMPUTED_VALUE"""),"1-800-WALGREENS")</f>
        <v>1-800-WALGREENS</v>
      </c>
      <c r="L41" s="1"/>
      <c r="M41" s="1" t="str">
        <f ca="1">IFERROR(__xludf.DUMMYFUNCTION("""COMPUTED_VALUE"""),"Schedule an appointment using the button below")</f>
        <v>Schedule an appointment using the button below</v>
      </c>
      <c r="N41" s="1"/>
      <c r="O41" s="1" t="str">
        <f ca="1">IFERROR(__xludf.DUMMYFUNCTION("""COMPUTED_VALUE"""),"Yes")</f>
        <v>Yes</v>
      </c>
      <c r="P41" s="1" t="str">
        <f ca="1">IFERROR(__xludf.DUMMYFUNCTION("""COMPUTED_VALUE"""),"21237")</f>
        <v>21237</v>
      </c>
      <c r="Q41" s="1" t="str">
        <f ca="1">IFERROR(__xludf.DUMMYFUNCTION("""COMPUTED_VALUE"""),"Yes")</f>
        <v>Yes</v>
      </c>
      <c r="R41" s="1" t="str">
        <f ca="1">IFERROR(__xludf.DUMMYFUNCTION("""COMPUTED_VALUE"""),"No")</f>
        <v>No</v>
      </c>
      <c r="S41" s="1" t="str">
        <f ca="1">IFERROR(__xludf.DUMMYFUNCTION("""COMPUTED_VALUE"""),"No")</f>
        <v>No</v>
      </c>
      <c r="T41" s="1" t="str">
        <f ca="1">IFERROR(__xludf.DUMMYFUNCTION("""COMPUTED_VALUE"""),"Yes")</f>
        <v>Yes</v>
      </c>
    </row>
    <row r="42" spans="1:20" ht="13" x14ac:dyDescent="0.6">
      <c r="A42" s="1" t="str">
        <f ca="1">IFERROR(__xludf.DUMMYFUNCTION("""COMPUTED_VALUE"""),"Baltimore")</f>
        <v>Baltimore</v>
      </c>
      <c r="B42" s="1" t="str">
        <f ca="1">IFERROR(__xludf.DUMMYFUNCTION("""COMPUTED_VALUE"""),"Essex")</f>
        <v>Essex</v>
      </c>
      <c r="C42" s="1" t="str">
        <f ca="1">IFERROR(__xludf.DUMMYFUNCTION("""COMPUTED_VALUE"""),"Walgreens Essex")</f>
        <v>Walgreens Essex</v>
      </c>
      <c r="D42" s="1" t="str">
        <f ca="1">IFERROR(__xludf.DUMMYFUNCTION("""COMPUTED_VALUE"""),"6 S Marlyn Ave Essex MD 21221")</f>
        <v>6 S Marlyn Ave Essex MD 21221</v>
      </c>
      <c r="E42" s="1" t="str">
        <f ca="1">IFERROR(__xludf.DUMMYFUNCTION("""COMPUTED_VALUE"""),"Yes")</f>
        <v>Yes</v>
      </c>
      <c r="F42" s="1" t="str">
        <f ca="1">IFERROR(__xludf.DUMMYFUNCTION("""COMPUTED_VALUE"""),"Pharmacy")</f>
        <v>Pharmacy</v>
      </c>
      <c r="G42" s="1"/>
      <c r="H42" s="1"/>
      <c r="I42" s="2" t="str">
        <f ca="1">IFERROR(__xludf.DUMMYFUNCTION("""COMPUTED_VALUE"""),"https://www.walgreens.com/schedulevaccine")</f>
        <v>https://www.walgreens.com/schedulevaccine</v>
      </c>
      <c r="J42" s="1"/>
      <c r="K42" s="1" t="str">
        <f ca="1">IFERROR(__xludf.DUMMYFUNCTION("""COMPUTED_VALUE"""),"1-800-WALGREENS")</f>
        <v>1-800-WALGREENS</v>
      </c>
      <c r="L42" s="1"/>
      <c r="M42" s="1" t="str">
        <f ca="1">IFERROR(__xludf.DUMMYFUNCTION("""COMPUTED_VALUE"""),"Schedule an appointment using the button below")</f>
        <v>Schedule an appointment using the button below</v>
      </c>
      <c r="N42" s="1"/>
      <c r="O42" s="1" t="str">
        <f ca="1">IFERROR(__xludf.DUMMYFUNCTION("""COMPUTED_VALUE"""),"Yes")</f>
        <v>Yes</v>
      </c>
      <c r="P42" s="1" t="str">
        <f ca="1">IFERROR(__xludf.DUMMYFUNCTION("""COMPUTED_VALUE"""),"21221")</f>
        <v>21221</v>
      </c>
      <c r="Q42" s="1" t="str">
        <f ca="1">IFERROR(__xludf.DUMMYFUNCTION("""COMPUTED_VALUE"""),"Yes")</f>
        <v>Yes</v>
      </c>
      <c r="R42" s="1" t="str">
        <f ca="1">IFERROR(__xludf.DUMMYFUNCTION("""COMPUTED_VALUE"""),"No")</f>
        <v>No</v>
      </c>
      <c r="S42" s="1" t="str">
        <f ca="1">IFERROR(__xludf.DUMMYFUNCTION("""COMPUTED_VALUE"""),"No")</f>
        <v>No</v>
      </c>
      <c r="T42" s="1" t="str">
        <f ca="1">IFERROR(__xludf.DUMMYFUNCTION("""COMPUTED_VALUE"""),"Yes")</f>
        <v>Yes</v>
      </c>
    </row>
    <row r="43" spans="1:20" ht="13" x14ac:dyDescent="0.6">
      <c r="A43" s="1" t="str">
        <f ca="1">IFERROR(__xludf.DUMMYFUNCTION("""COMPUTED_VALUE"""),"Baltimore")</f>
        <v>Baltimore</v>
      </c>
      <c r="B43" s="1" t="str">
        <f ca="1">IFERROR(__xludf.DUMMYFUNCTION("""COMPUTED_VALUE"""),"Baltimore")</f>
        <v>Baltimore</v>
      </c>
      <c r="C43" s="1" t="str">
        <f ca="1">IFERROR(__xludf.DUMMYFUNCTION("""COMPUTED_VALUE"""),"Walgreens Baltimore")</f>
        <v>Walgreens Baltimore</v>
      </c>
      <c r="D43" s="1" t="str">
        <f ca="1">IFERROR(__xludf.DUMMYFUNCTION("""COMPUTED_VALUE"""),"140 Back River Neck Rd Baltimore MD 21221")</f>
        <v>140 Back River Neck Rd Baltimore MD 21221</v>
      </c>
      <c r="E43" s="1" t="str">
        <f ca="1">IFERROR(__xludf.DUMMYFUNCTION("""COMPUTED_VALUE"""),"Yes")</f>
        <v>Yes</v>
      </c>
      <c r="F43" s="1" t="str">
        <f ca="1">IFERROR(__xludf.DUMMYFUNCTION("""COMPUTED_VALUE"""),"Pharmacy")</f>
        <v>Pharmacy</v>
      </c>
      <c r="G43" s="1"/>
      <c r="H43" s="1"/>
      <c r="I43" s="2" t="str">
        <f ca="1">IFERROR(__xludf.DUMMYFUNCTION("""COMPUTED_VALUE"""),"https://www.walgreens.com/schedulevaccine")</f>
        <v>https://www.walgreens.com/schedulevaccine</v>
      </c>
      <c r="J43" s="1"/>
      <c r="K43" s="1" t="str">
        <f ca="1">IFERROR(__xludf.DUMMYFUNCTION("""COMPUTED_VALUE"""),"1-800-WALGREENS")</f>
        <v>1-800-WALGREENS</v>
      </c>
      <c r="L43" s="1"/>
      <c r="M43" s="1" t="str">
        <f ca="1">IFERROR(__xludf.DUMMYFUNCTION("""COMPUTED_VALUE"""),"Schedule an appointment using the button below")</f>
        <v>Schedule an appointment using the button below</v>
      </c>
      <c r="N43" s="1"/>
      <c r="O43" s="1" t="str">
        <f ca="1">IFERROR(__xludf.DUMMYFUNCTION("""COMPUTED_VALUE"""),"Yes")</f>
        <v>Yes</v>
      </c>
      <c r="P43" s="1" t="str">
        <f ca="1">IFERROR(__xludf.DUMMYFUNCTION("""COMPUTED_VALUE"""),"21221")</f>
        <v>21221</v>
      </c>
      <c r="Q43" s="1" t="str">
        <f ca="1">IFERROR(__xludf.DUMMYFUNCTION("""COMPUTED_VALUE"""),"Yes")</f>
        <v>Yes</v>
      </c>
      <c r="R43" s="1" t="str">
        <f ca="1">IFERROR(__xludf.DUMMYFUNCTION("""COMPUTED_VALUE"""),"No")</f>
        <v>No</v>
      </c>
      <c r="S43" s="1" t="str">
        <f ca="1">IFERROR(__xludf.DUMMYFUNCTION("""COMPUTED_VALUE"""),"No")</f>
        <v>No</v>
      </c>
      <c r="T43" s="1" t="str">
        <f ca="1">IFERROR(__xludf.DUMMYFUNCTION("""COMPUTED_VALUE"""),"Yes")</f>
        <v>Yes</v>
      </c>
    </row>
    <row r="44" spans="1:20" ht="13" x14ac:dyDescent="0.6">
      <c r="A44" s="1" t="str">
        <f ca="1">IFERROR(__xludf.DUMMYFUNCTION("""COMPUTED_VALUE"""),"Baltimore")</f>
        <v>Baltimore</v>
      </c>
      <c r="B44" s="1" t="str">
        <f ca="1">IFERROR(__xludf.DUMMYFUNCTION("""COMPUTED_VALUE"""),"Baltimore")</f>
        <v>Baltimore</v>
      </c>
      <c r="C44" s="1" t="str">
        <f ca="1">IFERROR(__xludf.DUMMYFUNCTION("""COMPUTED_VALUE"""),"Walgreens Baltimore")</f>
        <v>Walgreens Baltimore</v>
      </c>
      <c r="D44" s="1" t="str">
        <f ca="1">IFERROR(__xludf.DUMMYFUNCTION("""COMPUTED_VALUE"""),"9621 Belair Rd Perry Hall 21128")</f>
        <v>9621 Belair Rd Perry Hall 21128</v>
      </c>
      <c r="E44" s="1" t="str">
        <f ca="1">IFERROR(__xludf.DUMMYFUNCTION("""COMPUTED_VALUE"""),"Yes")</f>
        <v>Yes</v>
      </c>
      <c r="F44" s="1" t="str">
        <f ca="1">IFERROR(__xludf.DUMMYFUNCTION("""COMPUTED_VALUE"""),"Pharmacy")</f>
        <v>Pharmacy</v>
      </c>
      <c r="G44" s="1"/>
      <c r="H44" s="1"/>
      <c r="I44" s="2" t="str">
        <f ca="1">IFERROR(__xludf.DUMMYFUNCTION("""COMPUTED_VALUE"""),"https://www.walgreens.com/schedulevaccine")</f>
        <v>https://www.walgreens.com/schedulevaccine</v>
      </c>
      <c r="J44" s="1"/>
      <c r="K44" s="1" t="str">
        <f ca="1">IFERROR(__xludf.DUMMYFUNCTION("""COMPUTED_VALUE"""),"1-800-WALGREENS")</f>
        <v>1-800-WALGREENS</v>
      </c>
      <c r="L44" s="1"/>
      <c r="M44" s="1" t="str">
        <f ca="1">IFERROR(__xludf.DUMMYFUNCTION("""COMPUTED_VALUE"""),"Schedule an appointment using the button below")</f>
        <v>Schedule an appointment using the button below</v>
      </c>
      <c r="N44" s="1"/>
      <c r="O44" s="1" t="str">
        <f ca="1">IFERROR(__xludf.DUMMYFUNCTION("""COMPUTED_VALUE"""),"Yes")</f>
        <v>Yes</v>
      </c>
      <c r="P44" s="1" t="str">
        <f ca="1">IFERROR(__xludf.DUMMYFUNCTION("""COMPUTED_VALUE"""),"21128")</f>
        <v>21128</v>
      </c>
      <c r="Q44" s="1" t="str">
        <f ca="1">IFERROR(__xludf.DUMMYFUNCTION("""COMPUTED_VALUE"""),"Yes")</f>
        <v>Yes</v>
      </c>
      <c r="R44" s="1" t="str">
        <f ca="1">IFERROR(__xludf.DUMMYFUNCTION("""COMPUTED_VALUE"""),"No")</f>
        <v>No</v>
      </c>
      <c r="S44" s="1" t="str">
        <f ca="1">IFERROR(__xludf.DUMMYFUNCTION("""COMPUTED_VALUE"""),"No")</f>
        <v>No</v>
      </c>
      <c r="T44" s="1" t="str">
        <f ca="1">IFERROR(__xludf.DUMMYFUNCTION("""COMPUTED_VALUE"""),"Yes")</f>
        <v>Yes</v>
      </c>
    </row>
    <row r="45" spans="1:20" ht="13" x14ac:dyDescent="0.6">
      <c r="A45" s="1" t="str">
        <f ca="1">IFERROR(__xludf.DUMMYFUNCTION("""COMPUTED_VALUE"""),"Baltimore")</f>
        <v>Baltimore</v>
      </c>
      <c r="B45" s="1" t="str">
        <f ca="1">IFERROR(__xludf.DUMMYFUNCTION("""COMPUTED_VALUE"""),"Baltimore")</f>
        <v>Baltimore</v>
      </c>
      <c r="C45" s="1" t="str">
        <f ca="1">IFERROR(__xludf.DUMMYFUNCTION("""COMPUTED_VALUE"""),"Walgreens Baltimore")</f>
        <v>Walgreens Baltimore</v>
      </c>
      <c r="D45" s="1" t="str">
        <f ca="1">IFERROR(__xludf.DUMMYFUNCTION("""COMPUTED_VALUE"""),"9616 Harford Rd Parkville MD 21234")</f>
        <v>9616 Harford Rd Parkville MD 21234</v>
      </c>
      <c r="E45" s="1" t="str">
        <f ca="1">IFERROR(__xludf.DUMMYFUNCTION("""COMPUTED_VALUE"""),"Yes")</f>
        <v>Yes</v>
      </c>
      <c r="F45" s="1" t="str">
        <f ca="1">IFERROR(__xludf.DUMMYFUNCTION("""COMPUTED_VALUE"""),"Pharmacy")</f>
        <v>Pharmacy</v>
      </c>
      <c r="G45" s="1"/>
      <c r="H45" s="1"/>
      <c r="I45" s="2" t="str">
        <f ca="1">IFERROR(__xludf.DUMMYFUNCTION("""COMPUTED_VALUE"""),"https://www.walgreens.com/schedulevaccine")</f>
        <v>https://www.walgreens.com/schedulevaccine</v>
      </c>
      <c r="J45" s="1"/>
      <c r="K45" s="1" t="str">
        <f ca="1">IFERROR(__xludf.DUMMYFUNCTION("""COMPUTED_VALUE"""),"1-800-WALGREENS")</f>
        <v>1-800-WALGREENS</v>
      </c>
      <c r="L45" s="1"/>
      <c r="M45" s="1" t="str">
        <f ca="1">IFERROR(__xludf.DUMMYFUNCTION("""COMPUTED_VALUE"""),"Schedule an appointment using the button below")</f>
        <v>Schedule an appointment using the button below</v>
      </c>
      <c r="N45" s="1"/>
      <c r="O45" s="1" t="str">
        <f ca="1">IFERROR(__xludf.DUMMYFUNCTION("""COMPUTED_VALUE"""),"Yes")</f>
        <v>Yes</v>
      </c>
      <c r="P45" s="1" t="str">
        <f ca="1">IFERROR(__xludf.DUMMYFUNCTION("""COMPUTED_VALUE"""),"21234")</f>
        <v>21234</v>
      </c>
      <c r="Q45" s="1" t="str">
        <f ca="1">IFERROR(__xludf.DUMMYFUNCTION("""COMPUTED_VALUE"""),"Yes")</f>
        <v>Yes</v>
      </c>
      <c r="R45" s="1" t="str">
        <f ca="1">IFERROR(__xludf.DUMMYFUNCTION("""COMPUTED_VALUE"""),"No")</f>
        <v>No</v>
      </c>
      <c r="S45" s="1" t="str">
        <f ca="1">IFERROR(__xludf.DUMMYFUNCTION("""COMPUTED_VALUE"""),"No")</f>
        <v>No</v>
      </c>
      <c r="T45" s="1" t="str">
        <f ca="1">IFERROR(__xludf.DUMMYFUNCTION("""COMPUTED_VALUE"""),"Yes")</f>
        <v>Yes</v>
      </c>
    </row>
    <row r="46" spans="1:20" ht="13" x14ac:dyDescent="0.6">
      <c r="A46" s="1" t="str">
        <f ca="1">IFERROR(__xludf.DUMMYFUNCTION("""COMPUTED_VALUE"""),"Baltimore")</f>
        <v>Baltimore</v>
      </c>
      <c r="B46" s="1" t="str">
        <f ca="1">IFERROR(__xludf.DUMMYFUNCTION("""COMPUTED_VALUE"""),"Baltimore")</f>
        <v>Baltimore</v>
      </c>
      <c r="C46" s="1" t="str">
        <f ca="1">IFERROR(__xludf.DUMMYFUNCTION("""COMPUTED_VALUE"""),"Walgreens Baltimore")</f>
        <v>Walgreens Baltimore</v>
      </c>
      <c r="D46" s="1" t="str">
        <f ca="1">IFERROR(__xludf.DUMMYFUNCTION("""COMPUTED_VALUE"""),"8050 Liberty Rd Windsor Mill MD 21244")</f>
        <v>8050 Liberty Rd Windsor Mill MD 21244</v>
      </c>
      <c r="E46" s="1" t="str">
        <f ca="1">IFERROR(__xludf.DUMMYFUNCTION("""COMPUTED_VALUE"""),"Yes")</f>
        <v>Yes</v>
      </c>
      <c r="F46" s="1" t="str">
        <f ca="1">IFERROR(__xludf.DUMMYFUNCTION("""COMPUTED_VALUE"""),"Pharmacy")</f>
        <v>Pharmacy</v>
      </c>
      <c r="G46" s="1"/>
      <c r="H46" s="1"/>
      <c r="I46" s="2" t="str">
        <f ca="1">IFERROR(__xludf.DUMMYFUNCTION("""COMPUTED_VALUE"""),"https://www.walgreens.com/schedulevaccine")</f>
        <v>https://www.walgreens.com/schedulevaccine</v>
      </c>
      <c r="J46" s="1"/>
      <c r="K46" s="1" t="str">
        <f ca="1">IFERROR(__xludf.DUMMYFUNCTION("""COMPUTED_VALUE"""),"1-800-WALGREENS")</f>
        <v>1-800-WALGREENS</v>
      </c>
      <c r="L46" s="1"/>
      <c r="M46" s="1" t="str">
        <f ca="1">IFERROR(__xludf.DUMMYFUNCTION("""COMPUTED_VALUE"""),"Schedule an appointment using the button below")</f>
        <v>Schedule an appointment using the button below</v>
      </c>
      <c r="N46" s="1"/>
      <c r="O46" s="1" t="str">
        <f ca="1">IFERROR(__xludf.DUMMYFUNCTION("""COMPUTED_VALUE"""),"Yes")</f>
        <v>Yes</v>
      </c>
      <c r="P46" s="1" t="str">
        <f ca="1">IFERROR(__xludf.DUMMYFUNCTION("""COMPUTED_VALUE"""),"21244")</f>
        <v>21244</v>
      </c>
      <c r="Q46" s="1" t="str">
        <f ca="1">IFERROR(__xludf.DUMMYFUNCTION("""COMPUTED_VALUE"""),"No")</f>
        <v>No</v>
      </c>
      <c r="R46" s="1" t="str">
        <f ca="1">IFERROR(__xludf.DUMMYFUNCTION("""COMPUTED_VALUE"""),"Yes")</f>
        <v>Yes</v>
      </c>
      <c r="S46" s="1" t="str">
        <f ca="1">IFERROR(__xludf.DUMMYFUNCTION("""COMPUTED_VALUE"""),"No")</f>
        <v>No</v>
      </c>
      <c r="T46" s="1" t="str">
        <f ca="1">IFERROR(__xludf.DUMMYFUNCTION("""COMPUTED_VALUE"""),"Yes")</f>
        <v>Yes</v>
      </c>
    </row>
    <row r="47" spans="1:20" ht="13" x14ac:dyDescent="0.6">
      <c r="A47" s="1" t="str">
        <f ca="1">IFERROR(__xludf.DUMMYFUNCTION("""COMPUTED_VALUE"""),"Baltimore")</f>
        <v>Baltimore</v>
      </c>
      <c r="B47" s="1" t="str">
        <f ca="1">IFERROR(__xludf.DUMMYFUNCTION("""COMPUTED_VALUE"""),"Randallstown")</f>
        <v>Randallstown</v>
      </c>
      <c r="C47" s="1" t="str">
        <f ca="1">IFERROR(__xludf.DUMMYFUNCTION("""COMPUTED_VALUE"""),"Walgreens Randallstown")</f>
        <v>Walgreens Randallstown</v>
      </c>
      <c r="D47" s="1" t="str">
        <f ca="1">IFERROR(__xludf.DUMMYFUNCTION("""COMPUTED_VALUE"""),"9110 Liberty Rd Randallstown MD 21133")</f>
        <v>9110 Liberty Rd Randallstown MD 21133</v>
      </c>
      <c r="E47" s="1" t="str">
        <f ca="1">IFERROR(__xludf.DUMMYFUNCTION("""COMPUTED_VALUE"""),"Yes")</f>
        <v>Yes</v>
      </c>
      <c r="F47" s="1" t="str">
        <f ca="1">IFERROR(__xludf.DUMMYFUNCTION("""COMPUTED_VALUE"""),"Pharmacy")</f>
        <v>Pharmacy</v>
      </c>
      <c r="G47" s="1"/>
      <c r="H47" s="1"/>
      <c r="I47" s="2" t="str">
        <f ca="1">IFERROR(__xludf.DUMMYFUNCTION("""COMPUTED_VALUE"""),"https://www.walgreens.com/schedulevaccine")</f>
        <v>https://www.walgreens.com/schedulevaccine</v>
      </c>
      <c r="J47" s="1"/>
      <c r="K47" s="1" t="str">
        <f ca="1">IFERROR(__xludf.DUMMYFUNCTION("""COMPUTED_VALUE"""),"1-800-WALGREENS")</f>
        <v>1-800-WALGREENS</v>
      </c>
      <c r="L47" s="1"/>
      <c r="M47" s="1" t="str">
        <f ca="1">IFERROR(__xludf.DUMMYFUNCTION("""COMPUTED_VALUE"""),"Schedule an appointment using the button below")</f>
        <v>Schedule an appointment using the button below</v>
      </c>
      <c r="N47" s="1"/>
      <c r="O47" s="1"/>
      <c r="P47" s="1" t="str">
        <f ca="1">IFERROR(__xludf.DUMMYFUNCTION("""COMPUTED_VALUE"""),"21133")</f>
        <v>21133</v>
      </c>
      <c r="Q47" s="1" t="str">
        <f ca="1">IFERROR(__xludf.DUMMYFUNCTION("""COMPUTED_VALUE"""),"Yes")</f>
        <v>Yes</v>
      </c>
      <c r="R47" s="1" t="str">
        <f ca="1">IFERROR(__xludf.DUMMYFUNCTION("""COMPUTED_VALUE"""),"No")</f>
        <v>No</v>
      </c>
      <c r="S47" s="1" t="str">
        <f ca="1">IFERROR(__xludf.DUMMYFUNCTION("""COMPUTED_VALUE"""),"No")</f>
        <v>No</v>
      </c>
      <c r="T47" s="1" t="str">
        <f ca="1">IFERROR(__xludf.DUMMYFUNCTION("""COMPUTED_VALUE"""),"Yes")</f>
        <v>Yes</v>
      </c>
    </row>
    <row r="48" spans="1:20" ht="13" x14ac:dyDescent="0.6">
      <c r="A48" s="1" t="str">
        <f ca="1">IFERROR(__xludf.DUMMYFUNCTION("""COMPUTED_VALUE"""),"Baltimore")</f>
        <v>Baltimore</v>
      </c>
      <c r="B48" s="1" t="str">
        <f ca="1">IFERROR(__xludf.DUMMYFUNCTION("""COMPUTED_VALUE"""),"Catonsville")</f>
        <v>Catonsville</v>
      </c>
      <c r="C48" s="1" t="str">
        <f ca="1">IFERROR(__xludf.DUMMYFUNCTION("""COMPUTED_VALUE"""),"Walgreens Catonsville")</f>
        <v>Walgreens Catonsville</v>
      </c>
      <c r="D48" s="1" t="str">
        <f ca="1">IFERROR(__xludf.DUMMYFUNCTION("""COMPUTED_VALUE"""),"6323 Baltimore National Pike Catonsville Maryland 21228")</f>
        <v>6323 Baltimore National Pike Catonsville Maryland 21228</v>
      </c>
      <c r="E48" s="1" t="str">
        <f ca="1">IFERROR(__xludf.DUMMYFUNCTION("""COMPUTED_VALUE"""),"Yes")</f>
        <v>Yes</v>
      </c>
      <c r="F48" s="1" t="str">
        <f ca="1">IFERROR(__xludf.DUMMYFUNCTION("""COMPUTED_VALUE"""),"Pharmacy")</f>
        <v>Pharmacy</v>
      </c>
      <c r="G48" s="1"/>
      <c r="H48" s="1"/>
      <c r="I48" s="2" t="str">
        <f ca="1">IFERROR(__xludf.DUMMYFUNCTION("""COMPUTED_VALUE"""),"https://www.walgreens.com/schedulevaccine")</f>
        <v>https://www.walgreens.com/schedulevaccine</v>
      </c>
      <c r="J48" s="1"/>
      <c r="K48" s="1" t="str">
        <f ca="1">IFERROR(__xludf.DUMMYFUNCTION("""COMPUTED_VALUE"""),"1-800-WALGREENS")</f>
        <v>1-800-WALGREENS</v>
      </c>
      <c r="L48" s="1"/>
      <c r="M48" s="1" t="str">
        <f ca="1">IFERROR(__xludf.DUMMYFUNCTION("""COMPUTED_VALUE"""),"Schedule an appointment using the button below")</f>
        <v>Schedule an appointment using the button below</v>
      </c>
      <c r="N48" s="1"/>
      <c r="O48" s="1" t="str">
        <f ca="1">IFERROR(__xludf.DUMMYFUNCTION("""COMPUTED_VALUE"""),"Yes")</f>
        <v>Yes</v>
      </c>
      <c r="P48" s="1" t="str">
        <f ca="1">IFERROR(__xludf.DUMMYFUNCTION("""COMPUTED_VALUE"""),"21228")</f>
        <v>21228</v>
      </c>
      <c r="Q48" s="1" t="str">
        <f ca="1">IFERROR(__xludf.DUMMYFUNCTION("""COMPUTED_VALUE"""),"Yes")</f>
        <v>Yes</v>
      </c>
      <c r="R48" s="1" t="str">
        <f ca="1">IFERROR(__xludf.DUMMYFUNCTION("""COMPUTED_VALUE"""),"No")</f>
        <v>No</v>
      </c>
      <c r="S48" s="1" t="str">
        <f ca="1">IFERROR(__xludf.DUMMYFUNCTION("""COMPUTED_VALUE"""),"No")</f>
        <v>No</v>
      </c>
      <c r="T48" s="1" t="str">
        <f ca="1">IFERROR(__xludf.DUMMYFUNCTION("""COMPUTED_VALUE"""),"Yes")</f>
        <v>Yes</v>
      </c>
    </row>
    <row r="49" spans="1:20" ht="13" x14ac:dyDescent="0.6">
      <c r="A49" s="1" t="str">
        <f ca="1">IFERROR(__xludf.DUMMYFUNCTION("""COMPUTED_VALUE"""),"Baltimore")</f>
        <v>Baltimore</v>
      </c>
      <c r="B49" s="1" t="str">
        <f ca="1">IFERROR(__xludf.DUMMYFUNCTION("""COMPUTED_VALUE"""),"Lutherville")</f>
        <v>Lutherville</v>
      </c>
      <c r="C49" s="1" t="str">
        <f ca="1">IFERROR(__xludf.DUMMYFUNCTION("""COMPUTED_VALUE"""),"Walgreens Lutherville")</f>
        <v>Walgreens Lutherville</v>
      </c>
      <c r="D49" s="1" t="str">
        <f ca="1">IFERROR(__xludf.DUMMYFUNCTION("""COMPUTED_VALUE"""),"1801 York Rd Lutherville Timonium Maryland 21093")</f>
        <v>1801 York Rd Lutherville Timonium Maryland 21093</v>
      </c>
      <c r="E49" s="1" t="str">
        <f ca="1">IFERROR(__xludf.DUMMYFUNCTION("""COMPUTED_VALUE"""),"Yes")</f>
        <v>Yes</v>
      </c>
      <c r="F49" s="1" t="str">
        <f ca="1">IFERROR(__xludf.DUMMYFUNCTION("""COMPUTED_VALUE"""),"Pharmacy")</f>
        <v>Pharmacy</v>
      </c>
      <c r="G49" s="1"/>
      <c r="H49" s="1"/>
      <c r="I49" s="2" t="str">
        <f ca="1">IFERROR(__xludf.DUMMYFUNCTION("""COMPUTED_VALUE"""),"https://www.walgreens.com/schedulevaccine")</f>
        <v>https://www.walgreens.com/schedulevaccine</v>
      </c>
      <c r="J49" s="1"/>
      <c r="K49" s="1" t="str">
        <f ca="1">IFERROR(__xludf.DUMMYFUNCTION("""COMPUTED_VALUE"""),"1-800-WALGREENS")</f>
        <v>1-800-WALGREENS</v>
      </c>
      <c r="L49" s="1"/>
      <c r="M49" s="1" t="str">
        <f ca="1">IFERROR(__xludf.DUMMYFUNCTION("""COMPUTED_VALUE"""),"Schedule an appointment using the button below")</f>
        <v>Schedule an appointment using the button below</v>
      </c>
      <c r="N49" s="1"/>
      <c r="O49" s="1" t="str">
        <f ca="1">IFERROR(__xludf.DUMMYFUNCTION("""COMPUTED_VALUE"""),"Yes")</f>
        <v>Yes</v>
      </c>
      <c r="P49" s="1" t="str">
        <f ca="1">IFERROR(__xludf.DUMMYFUNCTION("""COMPUTED_VALUE"""),"21093")</f>
        <v>21093</v>
      </c>
      <c r="Q49" s="1" t="str">
        <f ca="1">IFERROR(__xludf.DUMMYFUNCTION("""COMPUTED_VALUE"""),"Yes")</f>
        <v>Yes</v>
      </c>
      <c r="R49" s="1" t="str">
        <f ca="1">IFERROR(__xludf.DUMMYFUNCTION("""COMPUTED_VALUE"""),"No")</f>
        <v>No</v>
      </c>
      <c r="S49" s="1" t="str">
        <f ca="1">IFERROR(__xludf.DUMMYFUNCTION("""COMPUTED_VALUE"""),"No")</f>
        <v>No</v>
      </c>
      <c r="T49" s="1" t="str">
        <f ca="1">IFERROR(__xludf.DUMMYFUNCTION("""COMPUTED_VALUE"""),"Yes")</f>
        <v>Yes</v>
      </c>
    </row>
    <row r="50" spans="1:20" ht="13" x14ac:dyDescent="0.6">
      <c r="A50" s="1" t="str">
        <f ca="1">IFERROR(__xludf.DUMMYFUNCTION("""COMPUTED_VALUE"""),"Baltimore")</f>
        <v>Baltimore</v>
      </c>
      <c r="B50" s="1" t="str">
        <f ca="1">IFERROR(__xludf.DUMMYFUNCTION("""COMPUTED_VALUE"""),"Towson")</f>
        <v>Towson</v>
      </c>
      <c r="C50" s="1" t="str">
        <f ca="1">IFERROR(__xludf.DUMMYFUNCTION("""COMPUTED_VALUE"""),"Walgreens Towson")</f>
        <v>Walgreens Towson</v>
      </c>
      <c r="D50" s="1" t="str">
        <f ca="1">IFERROR(__xludf.DUMMYFUNCTION("""COMPUTED_VALUE"""),"939 York Rd Towson Maryland 21204")</f>
        <v>939 York Rd Towson Maryland 21204</v>
      </c>
      <c r="E50" s="1" t="str">
        <f ca="1">IFERROR(__xludf.DUMMYFUNCTION("""COMPUTED_VALUE"""),"Yes")</f>
        <v>Yes</v>
      </c>
      <c r="F50" s="1" t="str">
        <f ca="1">IFERROR(__xludf.DUMMYFUNCTION("""COMPUTED_VALUE"""),"Pharmacy")</f>
        <v>Pharmacy</v>
      </c>
      <c r="G50" s="1"/>
      <c r="H50" s="1"/>
      <c r="I50" s="2" t="str">
        <f ca="1">IFERROR(__xludf.DUMMYFUNCTION("""COMPUTED_VALUE"""),"https://www.walgreens.com/schedulevaccine")</f>
        <v>https://www.walgreens.com/schedulevaccine</v>
      </c>
      <c r="J50" s="1"/>
      <c r="K50" s="1" t="str">
        <f ca="1">IFERROR(__xludf.DUMMYFUNCTION("""COMPUTED_VALUE"""),"1-800-WALGREENS")</f>
        <v>1-800-WALGREENS</v>
      </c>
      <c r="L50" s="1"/>
      <c r="M50" s="1" t="str">
        <f ca="1">IFERROR(__xludf.DUMMYFUNCTION("""COMPUTED_VALUE"""),"Schedule an appointment using the button below")</f>
        <v>Schedule an appointment using the button below</v>
      </c>
      <c r="N50" s="1"/>
      <c r="O50" s="1" t="str">
        <f ca="1">IFERROR(__xludf.DUMMYFUNCTION("""COMPUTED_VALUE"""),"Yes")</f>
        <v>Yes</v>
      </c>
      <c r="P50" s="1" t="str">
        <f ca="1">IFERROR(__xludf.DUMMYFUNCTION("""COMPUTED_VALUE"""),"21204")</f>
        <v>21204</v>
      </c>
      <c r="Q50" s="1" t="str">
        <f ca="1">IFERROR(__xludf.DUMMYFUNCTION("""COMPUTED_VALUE"""),"Yes")</f>
        <v>Yes</v>
      </c>
      <c r="R50" s="1" t="str">
        <f ca="1">IFERROR(__xludf.DUMMYFUNCTION("""COMPUTED_VALUE"""),"No")</f>
        <v>No</v>
      </c>
      <c r="S50" s="1" t="str">
        <f ca="1">IFERROR(__xludf.DUMMYFUNCTION("""COMPUTED_VALUE"""),"No")</f>
        <v>No</v>
      </c>
      <c r="T50" s="1" t="str">
        <f ca="1">IFERROR(__xludf.DUMMYFUNCTION("""COMPUTED_VALUE"""),"Yes")</f>
        <v>Yes</v>
      </c>
    </row>
    <row r="51" spans="1:20" ht="13" x14ac:dyDescent="0.6">
      <c r="A51" s="1" t="str">
        <f ca="1">IFERROR(__xludf.DUMMYFUNCTION("""COMPUTED_VALUE"""),"Baltimore")</f>
        <v>Baltimore</v>
      </c>
      <c r="B51" s="1" t="str">
        <f ca="1">IFERROR(__xludf.DUMMYFUNCTION("""COMPUTED_VALUE"""),"Nottingham")</f>
        <v>Nottingham</v>
      </c>
      <c r="C51" s="1" t="str">
        <f ca="1">IFERROR(__xludf.DUMMYFUNCTION("""COMPUTED_VALUE"""),"Walgreens Nottingham")</f>
        <v>Walgreens Nottingham</v>
      </c>
      <c r="D51" s="1" t="str">
        <f ca="1">IFERROR(__xludf.DUMMYFUNCTION("""COMPUTED_VALUE"""),"8650 Belair Rd Nottingham Maryland 21236")</f>
        <v>8650 Belair Rd Nottingham Maryland 21236</v>
      </c>
      <c r="E51" s="1" t="str">
        <f ca="1">IFERROR(__xludf.DUMMYFUNCTION("""COMPUTED_VALUE"""),"Yes")</f>
        <v>Yes</v>
      </c>
      <c r="F51" s="1" t="str">
        <f ca="1">IFERROR(__xludf.DUMMYFUNCTION("""COMPUTED_VALUE"""),"Pharmacy")</f>
        <v>Pharmacy</v>
      </c>
      <c r="G51" s="1"/>
      <c r="H51" s="1"/>
      <c r="I51" s="2" t="str">
        <f ca="1">IFERROR(__xludf.DUMMYFUNCTION("""COMPUTED_VALUE"""),"https://www.walgreens.com/schedulevaccine")</f>
        <v>https://www.walgreens.com/schedulevaccine</v>
      </c>
      <c r="J51" s="1"/>
      <c r="K51" s="1" t="str">
        <f ca="1">IFERROR(__xludf.DUMMYFUNCTION("""COMPUTED_VALUE"""),"1-800-WALGREENS")</f>
        <v>1-800-WALGREENS</v>
      </c>
      <c r="L51" s="1"/>
      <c r="M51" s="1" t="str">
        <f ca="1">IFERROR(__xludf.DUMMYFUNCTION("""COMPUTED_VALUE"""),"Schedule an appointment using the button below")</f>
        <v>Schedule an appointment using the button below</v>
      </c>
      <c r="N51" s="1"/>
      <c r="O51" s="1" t="str">
        <f ca="1">IFERROR(__xludf.DUMMYFUNCTION("""COMPUTED_VALUE"""),"Yes")</f>
        <v>Yes</v>
      </c>
      <c r="P51" s="1" t="str">
        <f ca="1">IFERROR(__xludf.DUMMYFUNCTION("""COMPUTED_VALUE"""),"21236")</f>
        <v>21236</v>
      </c>
      <c r="Q51" s="1" t="str">
        <f ca="1">IFERROR(__xludf.DUMMYFUNCTION("""COMPUTED_VALUE"""),"Yes")</f>
        <v>Yes</v>
      </c>
      <c r="R51" s="1" t="str">
        <f ca="1">IFERROR(__xludf.DUMMYFUNCTION("""COMPUTED_VALUE"""),"No")</f>
        <v>No</v>
      </c>
      <c r="S51" s="1" t="str">
        <f ca="1">IFERROR(__xludf.DUMMYFUNCTION("""COMPUTED_VALUE"""),"No")</f>
        <v>No</v>
      </c>
      <c r="T51" s="1" t="str">
        <f ca="1">IFERROR(__xludf.DUMMYFUNCTION("""COMPUTED_VALUE"""),"Yes")</f>
        <v>Yes</v>
      </c>
    </row>
    <row r="52" spans="1:20" ht="13" x14ac:dyDescent="0.6">
      <c r="A52" s="1" t="str">
        <f ca="1">IFERROR(__xludf.DUMMYFUNCTION("""COMPUTED_VALUE"""),"Baltimore")</f>
        <v>Baltimore</v>
      </c>
      <c r="B52" s="1" t="str">
        <f ca="1">IFERROR(__xludf.DUMMYFUNCTION("""COMPUTED_VALUE"""),"Cockeysville")</f>
        <v>Cockeysville</v>
      </c>
      <c r="C52" s="1" t="str">
        <f ca="1">IFERROR(__xludf.DUMMYFUNCTION("""COMPUTED_VALUE"""),"Walgreens Cockeysville")</f>
        <v>Walgreens Cockeysville</v>
      </c>
      <c r="D52" s="1" t="str">
        <f ca="1">IFERROR(__xludf.DUMMYFUNCTION("""COMPUTED_VALUE"""),"10410 York Rd Cockeysville Maryland 21030")</f>
        <v>10410 York Rd Cockeysville Maryland 21030</v>
      </c>
      <c r="E52" s="1" t="str">
        <f ca="1">IFERROR(__xludf.DUMMYFUNCTION("""COMPUTED_VALUE"""),"Yes")</f>
        <v>Yes</v>
      </c>
      <c r="F52" s="1" t="str">
        <f ca="1">IFERROR(__xludf.DUMMYFUNCTION("""COMPUTED_VALUE"""),"Pharmacy")</f>
        <v>Pharmacy</v>
      </c>
      <c r="G52" s="1"/>
      <c r="H52" s="1"/>
      <c r="I52" s="2" t="str">
        <f ca="1">IFERROR(__xludf.DUMMYFUNCTION("""COMPUTED_VALUE"""),"https://www.walgreens.com/schedulevaccine")</f>
        <v>https://www.walgreens.com/schedulevaccine</v>
      </c>
      <c r="J52" s="1"/>
      <c r="K52" s="1" t="str">
        <f ca="1">IFERROR(__xludf.DUMMYFUNCTION("""COMPUTED_VALUE"""),"1-800-WALGREENS")</f>
        <v>1-800-WALGREENS</v>
      </c>
      <c r="L52" s="1"/>
      <c r="M52" s="1" t="str">
        <f ca="1">IFERROR(__xludf.DUMMYFUNCTION("""COMPUTED_VALUE"""),"Schedule an appointment using the button below")</f>
        <v>Schedule an appointment using the button below</v>
      </c>
      <c r="N52" s="1"/>
      <c r="O52" s="1" t="str">
        <f ca="1">IFERROR(__xludf.DUMMYFUNCTION("""COMPUTED_VALUE"""),"Yes")</f>
        <v>Yes</v>
      </c>
      <c r="P52" s="1" t="str">
        <f ca="1">IFERROR(__xludf.DUMMYFUNCTION("""COMPUTED_VALUE"""),"21030")</f>
        <v>21030</v>
      </c>
      <c r="Q52" s="1" t="str">
        <f ca="1">IFERROR(__xludf.DUMMYFUNCTION("""COMPUTED_VALUE"""),"Yes")</f>
        <v>Yes</v>
      </c>
      <c r="R52" s="1" t="str">
        <f ca="1">IFERROR(__xludf.DUMMYFUNCTION("""COMPUTED_VALUE"""),"No")</f>
        <v>No</v>
      </c>
      <c r="S52" s="1" t="str">
        <f ca="1">IFERROR(__xludf.DUMMYFUNCTION("""COMPUTED_VALUE"""),"No")</f>
        <v>No</v>
      </c>
      <c r="T52" s="1" t="str">
        <f ca="1">IFERROR(__xludf.DUMMYFUNCTION("""COMPUTED_VALUE"""),"Yes")</f>
        <v>Yes</v>
      </c>
    </row>
    <row r="53" spans="1:20" ht="13" x14ac:dyDescent="0.6">
      <c r="A53" s="1" t="str">
        <f ca="1">IFERROR(__xludf.DUMMYFUNCTION("""COMPUTED_VALUE"""),"Baltimore")</f>
        <v>Baltimore</v>
      </c>
      <c r="B53" s="1" t="str">
        <f ca="1">IFERROR(__xludf.DUMMYFUNCTION("""COMPUTED_VALUE"""),"Catonsville")</f>
        <v>Catonsville</v>
      </c>
      <c r="C53" s="1" t="str">
        <f ca="1">IFERROR(__xludf.DUMMYFUNCTION("""COMPUTED_VALUE"""),"Walmart Catonsville")</f>
        <v>Walmart Catonsville</v>
      </c>
      <c r="D53" s="1" t="str">
        <f ca="1">IFERROR(__xludf.DUMMYFUNCTION("""COMPUTED_VALUE"""),"6205 Baltimore National Pike Catonsville MD 21228")</f>
        <v>6205 Baltimore National Pike Catonsville MD 21228</v>
      </c>
      <c r="E53" s="1" t="str">
        <f ca="1">IFERROR(__xludf.DUMMYFUNCTION("""COMPUTED_VALUE"""),"Yes")</f>
        <v>Yes</v>
      </c>
      <c r="F53" s="1" t="str">
        <f ca="1">IFERROR(__xludf.DUMMYFUNCTION("""COMPUTED_VALUE"""),"Pharmacy")</f>
        <v>Pharmacy</v>
      </c>
      <c r="G53" s="1"/>
      <c r="H53" s="1"/>
      <c r="I53" s="2" t="str">
        <f ca="1">IFERROR(__xludf.DUMMYFUNCTION("""COMPUTED_VALUE"""),"https://walmart.com/covidvaccine")</f>
        <v>https://walmart.com/covidvaccine</v>
      </c>
      <c r="J53" s="1"/>
      <c r="K53" s="1" t="str">
        <f ca="1">IFERROR(__xludf.DUMMYFUNCTION("""COMPUTED_VALUE"""),"410-719-0042")</f>
        <v>410-719-0042</v>
      </c>
      <c r="L53" s="1"/>
      <c r="M53" s="1" t="str">
        <f ca="1">IFERROR(__xludf.DUMMYFUNCTION("""COMPUTED_VALUE"""),"Schedule an appointment using the button below")</f>
        <v>Schedule an appointment using the button below</v>
      </c>
      <c r="N53" s="1"/>
      <c r="O53" s="1" t="str">
        <f ca="1">IFERROR(__xludf.DUMMYFUNCTION("""COMPUTED_VALUE"""),"Yes")</f>
        <v>Yes</v>
      </c>
      <c r="P53" s="1" t="str">
        <f ca="1">IFERROR(__xludf.DUMMYFUNCTION("""COMPUTED_VALUE"""),"21228")</f>
        <v>21228</v>
      </c>
      <c r="Q53" s="1" t="str">
        <f ca="1">IFERROR(__xludf.DUMMYFUNCTION("""COMPUTED_VALUE"""),"Yes")</f>
        <v>Yes</v>
      </c>
      <c r="R53" s="1" t="str">
        <f ca="1">IFERROR(__xludf.DUMMYFUNCTION("""COMPUTED_VALUE"""),"No")</f>
        <v>No</v>
      </c>
      <c r="S53" s="1" t="str">
        <f ca="1">IFERROR(__xludf.DUMMYFUNCTION("""COMPUTED_VALUE"""),"No")</f>
        <v>No</v>
      </c>
      <c r="T53" s="1" t="str">
        <f ca="1">IFERROR(__xludf.DUMMYFUNCTION("""COMPUTED_VALUE"""),"Yes")</f>
        <v>Yes</v>
      </c>
    </row>
    <row r="54" spans="1:20" ht="13" x14ac:dyDescent="0.6">
      <c r="A54" s="1" t="str">
        <f ca="1">IFERROR(__xludf.DUMMYFUNCTION("""COMPUTED_VALUE"""),"Baltimore")</f>
        <v>Baltimore</v>
      </c>
      <c r="B54" s="1" t="str">
        <f ca="1">IFERROR(__xludf.DUMMYFUNCTION("""COMPUTED_VALUE"""),"Cockeysville")</f>
        <v>Cockeysville</v>
      </c>
      <c r="C54" s="1" t="str">
        <f ca="1">IFERROR(__xludf.DUMMYFUNCTION("""COMPUTED_VALUE"""),"Walmart Cockeysville")</f>
        <v>Walmart Cockeysville</v>
      </c>
      <c r="D54" s="1" t="str">
        <f ca="1">IFERROR(__xludf.DUMMYFUNCTION("""COMPUTED_VALUE"""),"1 Frankel Way Cockeysville MD 21030")</f>
        <v>1 Frankel Way Cockeysville MD 21030</v>
      </c>
      <c r="E54" s="1" t="str">
        <f ca="1">IFERROR(__xludf.DUMMYFUNCTION("""COMPUTED_VALUE"""),"Yes")</f>
        <v>Yes</v>
      </c>
      <c r="F54" s="1" t="str">
        <f ca="1">IFERROR(__xludf.DUMMYFUNCTION("""COMPUTED_VALUE"""),"Pharmacy")</f>
        <v>Pharmacy</v>
      </c>
      <c r="G54" s="1"/>
      <c r="H54" s="1"/>
      <c r="I54" s="2" t="str">
        <f ca="1">IFERROR(__xludf.DUMMYFUNCTION("""COMPUTED_VALUE"""),"https://walmart.com/covidvaccine")</f>
        <v>https://walmart.com/covidvaccine</v>
      </c>
      <c r="J54" s="1"/>
      <c r="K54" s="1" t="str">
        <f ca="1">IFERROR(__xludf.DUMMYFUNCTION("""COMPUTED_VALUE"""),"410-628-6168")</f>
        <v>410-628-6168</v>
      </c>
      <c r="L54" s="1"/>
      <c r="M54" s="1" t="str">
        <f ca="1">IFERROR(__xludf.DUMMYFUNCTION("""COMPUTED_VALUE"""),"Schedule an appointment using the button below")</f>
        <v>Schedule an appointment using the button below</v>
      </c>
      <c r="N54" s="1"/>
      <c r="O54" s="1" t="str">
        <f ca="1">IFERROR(__xludf.DUMMYFUNCTION("""COMPUTED_VALUE"""),"Yes")</f>
        <v>Yes</v>
      </c>
      <c r="P54" s="1" t="str">
        <f ca="1">IFERROR(__xludf.DUMMYFUNCTION("""COMPUTED_VALUE"""),"21030")</f>
        <v>21030</v>
      </c>
      <c r="Q54" s="1" t="str">
        <f ca="1">IFERROR(__xludf.DUMMYFUNCTION("""COMPUTED_VALUE"""),"Yes")</f>
        <v>Yes</v>
      </c>
      <c r="R54" s="1" t="str">
        <f ca="1">IFERROR(__xludf.DUMMYFUNCTION("""COMPUTED_VALUE"""),"No")</f>
        <v>No</v>
      </c>
      <c r="S54" s="1" t="str">
        <f ca="1">IFERROR(__xludf.DUMMYFUNCTION("""COMPUTED_VALUE"""),"No")</f>
        <v>No</v>
      </c>
      <c r="T54" s="1" t="str">
        <f ca="1">IFERROR(__xludf.DUMMYFUNCTION("""COMPUTED_VALUE"""),"Yes")</f>
        <v>Yes</v>
      </c>
    </row>
    <row r="55" spans="1:20" ht="13" x14ac:dyDescent="0.6">
      <c r="A55" s="1" t="str">
        <f ca="1">IFERROR(__xludf.DUMMYFUNCTION("""COMPUTED_VALUE"""),"Baltimore")</f>
        <v>Baltimore</v>
      </c>
      <c r="B55" s="1" t="str">
        <f ca="1">IFERROR(__xludf.DUMMYFUNCTION("""COMPUTED_VALUE"""),"Towson")</f>
        <v>Towson</v>
      </c>
      <c r="C55" s="1" t="str">
        <f ca="1">IFERROR(__xludf.DUMMYFUNCTION("""COMPUTED_VALUE"""),"Walmart Towson")</f>
        <v>Walmart Towson</v>
      </c>
      <c r="D55" s="1" t="str">
        <f ca="1">IFERROR(__xludf.DUMMYFUNCTION("""COMPUTED_VALUE"""),"1238 Putty Hill Ave Ste 5 Towson MD 21286")</f>
        <v>1238 Putty Hill Ave Ste 5 Towson MD 21286</v>
      </c>
      <c r="E55" s="1" t="str">
        <f ca="1">IFERROR(__xludf.DUMMYFUNCTION("""COMPUTED_VALUE"""),"Yes")</f>
        <v>Yes</v>
      </c>
      <c r="F55" s="1" t="str">
        <f ca="1">IFERROR(__xludf.DUMMYFUNCTION("""COMPUTED_VALUE"""),"Pharmacy")</f>
        <v>Pharmacy</v>
      </c>
      <c r="G55" s="1"/>
      <c r="H55" s="1"/>
      <c r="I55" s="2" t="str">
        <f ca="1">IFERROR(__xludf.DUMMYFUNCTION("""COMPUTED_VALUE"""),"https://walmart.com/covidvaccine")</f>
        <v>https://walmart.com/covidvaccine</v>
      </c>
      <c r="J55" s="1"/>
      <c r="K55" s="1" t="str">
        <f ca="1">IFERROR(__xludf.DUMMYFUNCTION("""COMPUTED_VALUE"""),"410-494-4619")</f>
        <v>410-494-4619</v>
      </c>
      <c r="L55" s="1"/>
      <c r="M55" s="1" t="str">
        <f ca="1">IFERROR(__xludf.DUMMYFUNCTION("""COMPUTED_VALUE"""),"Schedule an appointment using the button below")</f>
        <v>Schedule an appointment using the button below</v>
      </c>
      <c r="N55" s="1"/>
      <c r="O55" s="1" t="str">
        <f ca="1">IFERROR(__xludf.DUMMYFUNCTION("""COMPUTED_VALUE"""),"Yes")</f>
        <v>Yes</v>
      </c>
      <c r="P55" s="1" t="str">
        <f ca="1">IFERROR(__xludf.DUMMYFUNCTION("""COMPUTED_VALUE"""),"21286")</f>
        <v>21286</v>
      </c>
      <c r="Q55" s="1" t="str">
        <f ca="1">IFERROR(__xludf.DUMMYFUNCTION("""COMPUTED_VALUE"""),"Yes")</f>
        <v>Yes</v>
      </c>
      <c r="R55" s="1" t="str">
        <f ca="1">IFERROR(__xludf.DUMMYFUNCTION("""COMPUTED_VALUE"""),"No")</f>
        <v>No</v>
      </c>
      <c r="S55" s="1" t="str">
        <f ca="1">IFERROR(__xludf.DUMMYFUNCTION("""COMPUTED_VALUE"""),"No")</f>
        <v>No</v>
      </c>
      <c r="T55" s="1" t="str">
        <f ca="1">IFERROR(__xludf.DUMMYFUNCTION("""COMPUTED_VALUE"""),"Yes")</f>
        <v>Yes</v>
      </c>
    </row>
    <row r="56" spans="1:20" ht="13" x14ac:dyDescent="0.6">
      <c r="A56" s="1" t="str">
        <f ca="1">IFERROR(__xludf.DUMMYFUNCTION("""COMPUTED_VALUE"""),"Baltimore")</f>
        <v>Baltimore</v>
      </c>
      <c r="B56" s="1" t="str">
        <f ca="1">IFERROR(__xludf.DUMMYFUNCTION("""COMPUTED_VALUE"""),"Carney")</f>
        <v>Carney</v>
      </c>
      <c r="C56" s="1" t="str">
        <f ca="1">IFERROR(__xludf.DUMMYFUNCTION("""COMPUTED_VALUE"""),"Safeway Carney")</f>
        <v>Safeway Carney</v>
      </c>
      <c r="D56" s="1" t="str">
        <f ca="1">IFERROR(__xludf.DUMMYFUNCTION("""COMPUTED_VALUE"""),"8858 Waltham Woods Rd Carney MD 21234")</f>
        <v>8858 Waltham Woods Rd Carney MD 21234</v>
      </c>
      <c r="E56" s="1" t="str">
        <f ca="1">IFERROR(__xludf.DUMMYFUNCTION("""COMPUTED_VALUE"""),"Yes")</f>
        <v>Yes</v>
      </c>
      <c r="F56" s="1" t="str">
        <f ca="1">IFERROR(__xludf.DUMMYFUNCTION("""COMPUTED_VALUE"""),"Pharmacy")</f>
        <v>Pharmacy</v>
      </c>
      <c r="G56" s="1"/>
      <c r="H56" s="1"/>
      <c r="I56" s="2" t="str">
        <f ca="1">IFERROR(__xludf.DUMMYFUNCTION("""COMPUTED_VALUE"""),"https://www.safeway.com/covid-19")</f>
        <v>https://www.safeway.com/covid-19</v>
      </c>
      <c r="J56" s="1"/>
      <c r="K56" s="1"/>
      <c r="L56" s="1"/>
      <c r="M56" s="1" t="str">
        <f ca="1">IFERROR(__xludf.DUMMYFUNCTION("""COMPUTED_VALUE"""),"Schedule an appointment using the button below")</f>
        <v>Schedule an appointment using the button below</v>
      </c>
      <c r="N56" s="1"/>
      <c r="O56" s="1" t="str">
        <f ca="1">IFERROR(__xludf.DUMMYFUNCTION("""COMPUTED_VALUE"""),"Yes")</f>
        <v>Yes</v>
      </c>
      <c r="P56" s="1" t="str">
        <f ca="1">IFERROR(__xludf.DUMMYFUNCTION("""COMPUTED_VALUE"""),"21234")</f>
        <v>21234</v>
      </c>
      <c r="Q56" s="1" t="str">
        <f ca="1">IFERROR(__xludf.DUMMYFUNCTION("""COMPUTED_VALUE"""),"No")</f>
        <v>No</v>
      </c>
      <c r="R56" s="1" t="str">
        <f ca="1">IFERROR(__xludf.DUMMYFUNCTION("""COMPUTED_VALUE"""),"No")</f>
        <v>No</v>
      </c>
      <c r="S56" s="1" t="str">
        <f ca="1">IFERROR(__xludf.DUMMYFUNCTION("""COMPUTED_VALUE"""),"No")</f>
        <v>No</v>
      </c>
      <c r="T56" s="1" t="str">
        <f ca="1">IFERROR(__xludf.DUMMYFUNCTION("""COMPUTED_VALUE"""),"Yes")</f>
        <v>Yes</v>
      </c>
    </row>
    <row r="57" spans="1:20" ht="13" x14ac:dyDescent="0.6">
      <c r="A57" s="1" t="str">
        <f ca="1">IFERROR(__xludf.DUMMYFUNCTION("""COMPUTED_VALUE"""),"Baltimore")</f>
        <v>Baltimore</v>
      </c>
      <c r="B57" s="1" t="str">
        <f ca="1">IFERROR(__xludf.DUMMYFUNCTION("""COMPUTED_VALUE"""),"Pikesville")</f>
        <v>Pikesville</v>
      </c>
      <c r="C57" s="1" t="str">
        <f ca="1">IFERROR(__xludf.DUMMYFUNCTION("""COMPUTED_VALUE"""),"Giant Food Pikesville")</f>
        <v>Giant Food Pikesville</v>
      </c>
      <c r="D57" s="1" t="str">
        <f ca="1">IFERROR(__xludf.DUMMYFUNCTION("""COMPUTED_VALUE"""),"3757 Old Court Rd Pikesville MD 21208")</f>
        <v>3757 Old Court Rd Pikesville MD 21208</v>
      </c>
      <c r="E57" s="1" t="str">
        <f ca="1">IFERROR(__xludf.DUMMYFUNCTION("""COMPUTED_VALUE"""),"Yes")</f>
        <v>Yes</v>
      </c>
      <c r="F57" s="1" t="str">
        <f ca="1">IFERROR(__xludf.DUMMYFUNCTION("""COMPUTED_VALUE"""),"Pharmacy")</f>
        <v>Pharmacy</v>
      </c>
      <c r="G57" s="1"/>
      <c r="H57" s="1"/>
      <c r="I57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57" s="1"/>
      <c r="K57" s="1"/>
      <c r="L57" s="1"/>
      <c r="M57" s="1" t="str">
        <f ca="1">IFERROR(__xludf.DUMMYFUNCTION("""COMPUTED_VALUE"""),"Schedule an appointment using the button below")</f>
        <v>Schedule an appointment using the button below</v>
      </c>
      <c r="N57" s="1"/>
      <c r="O57" s="1" t="str">
        <f ca="1">IFERROR(__xludf.DUMMYFUNCTION("""COMPUTED_VALUE"""),"Yes")</f>
        <v>Yes</v>
      </c>
      <c r="P57" s="1" t="str">
        <f ca="1">IFERROR(__xludf.DUMMYFUNCTION("""COMPUTED_VALUE"""),"21208")</f>
        <v>21208</v>
      </c>
      <c r="Q57" s="1" t="str">
        <f ca="1">IFERROR(__xludf.DUMMYFUNCTION("""COMPUTED_VALUE"""),"Yes")</f>
        <v>Yes</v>
      </c>
      <c r="R57" s="1" t="str">
        <f ca="1">IFERROR(__xludf.DUMMYFUNCTION("""COMPUTED_VALUE"""),"Yes")</f>
        <v>Yes</v>
      </c>
      <c r="S57" s="1" t="str">
        <f ca="1">IFERROR(__xludf.DUMMYFUNCTION("""COMPUTED_VALUE"""),"Yes")</f>
        <v>Yes</v>
      </c>
      <c r="T57" s="1" t="str">
        <f ca="1">IFERROR(__xludf.DUMMYFUNCTION("""COMPUTED_VALUE"""),"Yes")</f>
        <v>Yes</v>
      </c>
    </row>
    <row r="58" spans="1:20" ht="13" x14ac:dyDescent="0.6">
      <c r="A58" s="1" t="str">
        <f ca="1">IFERROR(__xludf.DUMMYFUNCTION("""COMPUTED_VALUE"""),"Baltimore")</f>
        <v>Baltimore</v>
      </c>
      <c r="B58" s="1" t="str">
        <f ca="1">IFERROR(__xludf.DUMMYFUNCTION("""COMPUTED_VALUE"""),"Catonsville")</f>
        <v>Catonsville</v>
      </c>
      <c r="C58" s="1" t="str">
        <f ca="1">IFERROR(__xludf.DUMMYFUNCTION("""COMPUTED_VALUE"""),"Catonsville Pharmacy")</f>
        <v>Catonsville Pharmacy</v>
      </c>
      <c r="D58" s="1" t="str">
        <f ca="1">IFERROR(__xludf.DUMMYFUNCTION("""COMPUTED_VALUE"""),"6350 Frederick Road Catonsville MD 21228")</f>
        <v>6350 Frederick Road Catonsville MD 21228</v>
      </c>
      <c r="E58" s="1" t="str">
        <f ca="1">IFERROR(__xludf.DUMMYFUNCTION("""COMPUTED_VALUE"""),"Yes")</f>
        <v>Yes</v>
      </c>
      <c r="F58" s="1" t="str">
        <f ca="1">IFERROR(__xludf.DUMMYFUNCTION("""COMPUTED_VALUE"""),"Pharmacy")</f>
        <v>Pharmacy</v>
      </c>
      <c r="G58" s="1"/>
      <c r="H58" s="1"/>
      <c r="I58" s="2" t="str">
        <f ca="1">IFERROR(__xludf.DUMMYFUNCTION("""COMPUTED_VALUE"""),"https://www.catonsvillepharmacy.com/")</f>
        <v>https://www.catonsvillepharmacy.com/</v>
      </c>
      <c r="J58" s="1"/>
      <c r="K58" s="1"/>
      <c r="L58" s="1"/>
      <c r="M58" s="1" t="str">
        <f ca="1">IFERROR(__xludf.DUMMYFUNCTION("""COMPUTED_VALUE"""),"Contact the site to schedule an appointment")</f>
        <v>Contact the site to schedule an appointment</v>
      </c>
      <c r="N58" s="1"/>
      <c r="O58" s="1"/>
      <c r="P58" s="1" t="str">
        <f ca="1">IFERROR(__xludf.DUMMYFUNCTION("""COMPUTED_VALUE"""),"21228")</f>
        <v>21228</v>
      </c>
      <c r="Q58" s="1" t="str">
        <f ca="1">IFERROR(__xludf.DUMMYFUNCTION("""COMPUTED_VALUE"""),"Yes")</f>
        <v>Yes</v>
      </c>
      <c r="R58" s="1" t="str">
        <f ca="1">IFERROR(__xludf.DUMMYFUNCTION("""COMPUTED_VALUE"""),"Yes")</f>
        <v>Yes</v>
      </c>
      <c r="S58" s="1" t="str">
        <f ca="1">IFERROR(__xludf.DUMMYFUNCTION("""COMPUTED_VALUE"""),"Yes")</f>
        <v>Yes</v>
      </c>
      <c r="T58" s="1" t="str">
        <f ca="1">IFERROR(__xludf.DUMMYFUNCTION("""COMPUTED_VALUE"""),"Yes")</f>
        <v>Yes</v>
      </c>
    </row>
    <row r="59" spans="1:20" ht="13" x14ac:dyDescent="0.6">
      <c r="A59" s="1" t="str">
        <f ca="1">IFERROR(__xludf.DUMMYFUNCTION("""COMPUTED_VALUE"""),"Baltimore")</f>
        <v>Baltimore</v>
      </c>
      <c r="B59" s="1" t="str">
        <f ca="1">IFERROR(__xludf.DUMMYFUNCTION("""COMPUTED_VALUE"""),"Baltimore")</f>
        <v>Baltimore</v>
      </c>
      <c r="C59" s="1" t="str">
        <f ca="1">IFERROR(__xludf.DUMMYFUNCTION("""COMPUTED_VALUE"""),"Walmart Baltimore")</f>
        <v>Walmart Baltimore</v>
      </c>
      <c r="D59" s="1" t="str">
        <f ca="1">IFERROR(__xludf.DUMMYFUNCTION("""COMPUTED_VALUE"""),"112 Carroll Island Rd Baltimore MD 21220")</f>
        <v>112 Carroll Island Rd Baltimore MD 21220</v>
      </c>
      <c r="E59" s="1" t="str">
        <f ca="1">IFERROR(__xludf.DUMMYFUNCTION("""COMPUTED_VALUE"""),"Yes")</f>
        <v>Yes</v>
      </c>
      <c r="F59" s="1" t="str">
        <f ca="1">IFERROR(__xludf.DUMMYFUNCTION("""COMPUTED_VALUE"""),"Pharmacy")</f>
        <v>Pharmacy</v>
      </c>
      <c r="G59" s="1"/>
      <c r="H59" s="1"/>
      <c r="I59" s="2" t="str">
        <f ca="1">IFERROR(__xludf.DUMMYFUNCTION("""COMPUTED_VALUE"""),"https://walmart.com/covidvaccine")</f>
        <v>https://walmart.com/covidvaccine</v>
      </c>
      <c r="J59" s="1"/>
      <c r="K59" s="1" t="str">
        <f ca="1">IFERROR(__xludf.DUMMYFUNCTION("""COMPUTED_VALUE"""),"410-335-1135")</f>
        <v>410-335-1135</v>
      </c>
      <c r="L59" s="1"/>
      <c r="M59" s="1" t="str">
        <f ca="1">IFERROR(__xludf.DUMMYFUNCTION("""COMPUTED_VALUE"""),"Schedule an appointment using the button below")</f>
        <v>Schedule an appointment using the button below</v>
      </c>
      <c r="N59" s="1"/>
      <c r="O59" s="1"/>
      <c r="P59" s="1" t="str">
        <f ca="1">IFERROR(__xludf.DUMMYFUNCTION("""COMPUTED_VALUE"""),"21220")</f>
        <v>21220</v>
      </c>
      <c r="Q59" s="1" t="str">
        <f ca="1">IFERROR(__xludf.DUMMYFUNCTION("""COMPUTED_VALUE"""),"Yes")</f>
        <v>Yes</v>
      </c>
      <c r="R59" s="1" t="str">
        <f ca="1">IFERROR(__xludf.DUMMYFUNCTION("""COMPUTED_VALUE"""),"No")</f>
        <v>No</v>
      </c>
      <c r="S59" s="1" t="str">
        <f ca="1">IFERROR(__xludf.DUMMYFUNCTION("""COMPUTED_VALUE"""),"Yes")</f>
        <v>Yes</v>
      </c>
      <c r="T59" s="1" t="str">
        <f ca="1">IFERROR(__xludf.DUMMYFUNCTION("""COMPUTED_VALUE"""),"Yes")</f>
        <v>Yes</v>
      </c>
    </row>
    <row r="60" spans="1:20" ht="13" x14ac:dyDescent="0.6">
      <c r="A60" s="1" t="str">
        <f ca="1">IFERROR(__xludf.DUMMYFUNCTION("""COMPUTED_VALUE"""),"Baltimore")</f>
        <v>Baltimore</v>
      </c>
      <c r="B60" s="1" t="str">
        <f ca="1">IFERROR(__xludf.DUMMYFUNCTION("""COMPUTED_VALUE"""),"Nottingham")</f>
        <v>Nottingham</v>
      </c>
      <c r="C60" s="1" t="str">
        <f ca="1">IFERROR(__xludf.DUMMYFUNCTION("""COMPUTED_VALUE"""),"Weis Pharmacy #206")</f>
        <v>Weis Pharmacy #206</v>
      </c>
      <c r="D60" s="1" t="str">
        <f ca="1">IFERROR(__xludf.DUMMYFUNCTION("""COMPUTED_VALUE"""),"7927 Bel Air Road Suite S Nottingham, MD 21236")</f>
        <v>7927 Bel Air Road Suite S Nottingham, MD 21236</v>
      </c>
      <c r="E60" s="1" t="str">
        <f ca="1">IFERROR(__xludf.DUMMYFUNCTION("""COMPUTED_VALUE"""),"Yes")</f>
        <v>Yes</v>
      </c>
      <c r="F60" s="1" t="str">
        <f ca="1">IFERROR(__xludf.DUMMYFUNCTION("""COMPUTED_VALUE"""),"Pharmacy")</f>
        <v>Pharmacy</v>
      </c>
      <c r="G60" s="1"/>
      <c r="H60" s="1"/>
      <c r="I60" s="2" t="str">
        <f ca="1">IFERROR(__xludf.DUMMYFUNCTION("""COMPUTED_VALUE"""),"https://www.weismarkets.com/pharmacy-services")</f>
        <v>https://www.weismarkets.com/pharmacy-services</v>
      </c>
      <c r="J60" s="1"/>
      <c r="K60" s="1"/>
      <c r="L60" s="1"/>
      <c r="M60" s="1" t="str">
        <f ca="1">IFERROR(__xludf.DUMMYFUNCTION("""COMPUTED_VALUE"""),"Schedule an appointment using the button below")</f>
        <v>Schedule an appointment using the button below</v>
      </c>
      <c r="N60" s="1"/>
      <c r="O60" s="1" t="str">
        <f ca="1">IFERROR(__xludf.DUMMYFUNCTION("""COMPUTED_VALUE"""),"Yes")</f>
        <v>Yes</v>
      </c>
      <c r="P60" s="1" t="str">
        <f ca="1">IFERROR(__xludf.DUMMYFUNCTION("""COMPUTED_VALUE"""),"21236")</f>
        <v>21236</v>
      </c>
      <c r="Q60" s="1" t="str">
        <f ca="1">IFERROR(__xludf.DUMMYFUNCTION("""COMPUTED_VALUE"""),"No")</f>
        <v>No</v>
      </c>
      <c r="R60" s="1" t="str">
        <f ca="1">IFERROR(__xludf.DUMMYFUNCTION("""COMPUTED_VALUE"""),"No")</f>
        <v>No</v>
      </c>
      <c r="S60" s="1" t="str">
        <f ca="1">IFERROR(__xludf.DUMMYFUNCTION("""COMPUTED_VALUE"""),"No")</f>
        <v>No</v>
      </c>
      <c r="T60" s="1" t="str">
        <f ca="1">IFERROR(__xludf.DUMMYFUNCTION("""COMPUTED_VALUE"""),"Yes")</f>
        <v>Yes</v>
      </c>
    </row>
    <row r="61" spans="1:20" ht="13" x14ac:dyDescent="0.6">
      <c r="A61" s="1" t="str">
        <f ca="1">IFERROR(__xludf.DUMMYFUNCTION("""COMPUTED_VALUE"""),"Baltimore")</f>
        <v>Baltimore</v>
      </c>
      <c r="B61" s="1" t="str">
        <f ca="1">IFERROR(__xludf.DUMMYFUNCTION("""COMPUTED_VALUE"""),"Windsor Mill")</f>
        <v>Windsor Mill</v>
      </c>
      <c r="C61" s="1" t="str">
        <f ca="1">IFERROR(__xludf.DUMMYFUNCTION("""COMPUTED_VALUE"""),"Weis Pharmacy #229")</f>
        <v>Weis Pharmacy #229</v>
      </c>
      <c r="D61" s="1" t="str">
        <f ca="1">IFERROR(__xludf.DUMMYFUNCTION("""COMPUTED_VALUE"""),"7005 Security Blvd Windsor Mill, MD 21244")</f>
        <v>7005 Security Blvd Windsor Mill, MD 21244</v>
      </c>
      <c r="E61" s="1" t="str">
        <f ca="1">IFERROR(__xludf.DUMMYFUNCTION("""COMPUTED_VALUE"""),"Yes")</f>
        <v>Yes</v>
      </c>
      <c r="F61" s="1" t="str">
        <f ca="1">IFERROR(__xludf.DUMMYFUNCTION("""COMPUTED_VALUE"""),"Pharmacy")</f>
        <v>Pharmacy</v>
      </c>
      <c r="G61" s="1"/>
      <c r="H61" s="1"/>
      <c r="I61" s="2" t="str">
        <f ca="1">IFERROR(__xludf.DUMMYFUNCTION("""COMPUTED_VALUE"""),"https://www.weismarkets.com/pharmacy-services")</f>
        <v>https://www.weismarkets.com/pharmacy-services</v>
      </c>
      <c r="J61" s="1"/>
      <c r="K61" s="1"/>
      <c r="L61" s="1"/>
      <c r="M61" s="1" t="str">
        <f ca="1">IFERROR(__xludf.DUMMYFUNCTION("""COMPUTED_VALUE"""),"Schedule an appointment using the button below")</f>
        <v>Schedule an appointment using the button below</v>
      </c>
      <c r="N61" s="1"/>
      <c r="O61" s="1" t="str">
        <f ca="1">IFERROR(__xludf.DUMMYFUNCTION("""COMPUTED_VALUE"""),"Yes")</f>
        <v>Yes</v>
      </c>
      <c r="P61" s="1" t="str">
        <f ca="1">IFERROR(__xludf.DUMMYFUNCTION("""COMPUTED_VALUE"""),"21244")</f>
        <v>21244</v>
      </c>
      <c r="Q61" s="1" t="str">
        <f ca="1">IFERROR(__xludf.DUMMYFUNCTION("""COMPUTED_VALUE"""),"Yes")</f>
        <v>Yes</v>
      </c>
      <c r="R61" s="1" t="str">
        <f ca="1">IFERROR(__xludf.DUMMYFUNCTION("""COMPUTED_VALUE"""),"Yes")</f>
        <v>Yes</v>
      </c>
      <c r="S61" s="1" t="str">
        <f ca="1">IFERROR(__xludf.DUMMYFUNCTION("""COMPUTED_VALUE"""),"Yes")</f>
        <v>Yes</v>
      </c>
      <c r="T61" s="1" t="str">
        <f ca="1">IFERROR(__xludf.DUMMYFUNCTION("""COMPUTED_VALUE"""),"Yes")</f>
        <v>Yes</v>
      </c>
    </row>
    <row r="62" spans="1:20" ht="13" x14ac:dyDescent="0.6">
      <c r="A62" s="1" t="str">
        <f ca="1">IFERROR(__xludf.DUMMYFUNCTION("""COMPUTED_VALUE"""),"Baltimore")</f>
        <v>Baltimore</v>
      </c>
      <c r="B62" s="1" t="str">
        <f ca="1">IFERROR(__xludf.DUMMYFUNCTION("""COMPUTED_VALUE"""),"Reisterstown")</f>
        <v>Reisterstown</v>
      </c>
      <c r="C62" s="1" t="str">
        <f ca="1">IFERROR(__xludf.DUMMYFUNCTION("""COMPUTED_VALUE"""),"Weis Pharmacy #295")</f>
        <v>Weis Pharmacy #295</v>
      </c>
      <c r="D62" s="1" t="str">
        <f ca="1">IFERROR(__xludf.DUMMYFUNCTION("""COMPUTED_VALUE"""),"10 Village Center Rd Reisterstown, MD 21136")</f>
        <v>10 Village Center Rd Reisterstown, MD 21136</v>
      </c>
      <c r="E62" s="1" t="str">
        <f ca="1">IFERROR(__xludf.DUMMYFUNCTION("""COMPUTED_VALUE"""),"Yes")</f>
        <v>Yes</v>
      </c>
      <c r="F62" s="1" t="str">
        <f ca="1">IFERROR(__xludf.DUMMYFUNCTION("""COMPUTED_VALUE"""),"Pharmacy")</f>
        <v>Pharmacy</v>
      </c>
      <c r="G62" s="1"/>
      <c r="H62" s="1"/>
      <c r="I62" s="2" t="str">
        <f ca="1">IFERROR(__xludf.DUMMYFUNCTION("""COMPUTED_VALUE"""),"https://www.weismarkets.com/pharmacy-services")</f>
        <v>https://www.weismarkets.com/pharmacy-services</v>
      </c>
      <c r="J62" s="1"/>
      <c r="K62" s="1"/>
      <c r="L62" s="1"/>
      <c r="M62" s="1" t="str">
        <f ca="1">IFERROR(__xludf.DUMMYFUNCTION("""COMPUTED_VALUE"""),"Schedule an appointment using the button below")</f>
        <v>Schedule an appointment using the button below</v>
      </c>
      <c r="N62" s="1"/>
      <c r="O62" s="1" t="str">
        <f ca="1">IFERROR(__xludf.DUMMYFUNCTION("""COMPUTED_VALUE"""),"Yes")</f>
        <v>Yes</v>
      </c>
      <c r="P62" s="1" t="str">
        <f ca="1">IFERROR(__xludf.DUMMYFUNCTION("""COMPUTED_VALUE"""),"21136")</f>
        <v>21136</v>
      </c>
      <c r="Q62" s="1" t="str">
        <f ca="1">IFERROR(__xludf.DUMMYFUNCTION("""COMPUTED_VALUE"""),"Yes")</f>
        <v>Yes</v>
      </c>
      <c r="R62" s="1" t="str">
        <f ca="1">IFERROR(__xludf.DUMMYFUNCTION("""COMPUTED_VALUE"""),"Yes")</f>
        <v>Yes</v>
      </c>
      <c r="S62" s="1" t="str">
        <f ca="1">IFERROR(__xludf.DUMMYFUNCTION("""COMPUTED_VALUE"""),"No")</f>
        <v>No</v>
      </c>
      <c r="T62" s="1" t="str">
        <f ca="1">IFERROR(__xludf.DUMMYFUNCTION("""COMPUTED_VALUE"""),"Yes")</f>
        <v>Yes</v>
      </c>
    </row>
    <row r="63" spans="1:20" ht="13" x14ac:dyDescent="0.6">
      <c r="A63" s="1" t="str">
        <f ca="1">IFERROR(__xludf.DUMMYFUNCTION("""COMPUTED_VALUE"""),"Baltimore")</f>
        <v>Baltimore</v>
      </c>
      <c r="B63" s="1" t="str">
        <f ca="1">IFERROR(__xludf.DUMMYFUNCTION("""COMPUTED_VALUE"""),"Dundalk")</f>
        <v>Dundalk</v>
      </c>
      <c r="C63" s="1" t="str">
        <f ca="1">IFERROR(__xludf.DUMMYFUNCTION("""COMPUTED_VALUE"""),"Weis Pharmacy #85")</f>
        <v>Weis Pharmacy #85</v>
      </c>
      <c r="D63" s="1" t="str">
        <f ca="1">IFERROR(__xludf.DUMMYFUNCTION("""COMPUTED_VALUE"""),"7848 Wise Avenue Dundalk, MD 21222")</f>
        <v>7848 Wise Avenue Dundalk, MD 21222</v>
      </c>
      <c r="E63" s="1" t="str">
        <f ca="1">IFERROR(__xludf.DUMMYFUNCTION("""COMPUTED_VALUE"""),"Yes")</f>
        <v>Yes</v>
      </c>
      <c r="F63" s="1" t="str">
        <f ca="1">IFERROR(__xludf.DUMMYFUNCTION("""COMPUTED_VALUE"""),"Pharmacy")</f>
        <v>Pharmacy</v>
      </c>
      <c r="G63" s="1"/>
      <c r="H63" s="1"/>
      <c r="I63" s="2" t="str">
        <f ca="1">IFERROR(__xludf.DUMMYFUNCTION("""COMPUTED_VALUE"""),"https://www.weismarkets.com/pharmacy-services")</f>
        <v>https://www.weismarkets.com/pharmacy-services</v>
      </c>
      <c r="J63" s="1"/>
      <c r="K63" s="1"/>
      <c r="L63" s="1"/>
      <c r="M63" s="1" t="str">
        <f ca="1">IFERROR(__xludf.DUMMYFUNCTION("""COMPUTED_VALUE"""),"Schedule an appointment using the button below")</f>
        <v>Schedule an appointment using the button below</v>
      </c>
      <c r="N63" s="1"/>
      <c r="O63" s="1" t="str">
        <f ca="1">IFERROR(__xludf.DUMMYFUNCTION("""COMPUTED_VALUE"""),"Yes")</f>
        <v>Yes</v>
      </c>
      <c r="P63" s="1" t="str">
        <f ca="1">IFERROR(__xludf.DUMMYFUNCTION("""COMPUTED_VALUE"""),"21222")</f>
        <v>21222</v>
      </c>
      <c r="Q63" s="1" t="str">
        <f ca="1">IFERROR(__xludf.DUMMYFUNCTION("""COMPUTED_VALUE"""),"Yes")</f>
        <v>Yes</v>
      </c>
      <c r="R63" s="1" t="str">
        <f ca="1">IFERROR(__xludf.DUMMYFUNCTION("""COMPUTED_VALUE"""),"Yes")</f>
        <v>Yes</v>
      </c>
      <c r="S63" s="1" t="str">
        <f ca="1">IFERROR(__xludf.DUMMYFUNCTION("""COMPUTED_VALUE"""),"Yes")</f>
        <v>Yes</v>
      </c>
      <c r="T63" s="1" t="str">
        <f ca="1">IFERROR(__xludf.DUMMYFUNCTION("""COMPUTED_VALUE"""),"Yes")</f>
        <v>Yes</v>
      </c>
    </row>
    <row r="64" spans="1:20" ht="13" x14ac:dyDescent="0.6">
      <c r="A64" s="1" t="str">
        <f ca="1">IFERROR(__xludf.DUMMYFUNCTION("""COMPUTED_VALUE"""),"Baltimore")</f>
        <v>Baltimore</v>
      </c>
      <c r="B64" s="1" t="str">
        <f ca="1">IFERROR(__xludf.DUMMYFUNCTION("""COMPUTED_VALUE"""),"Essex")</f>
        <v>Essex</v>
      </c>
      <c r="C64" s="1" t="str">
        <f ca="1">IFERROR(__xludf.DUMMYFUNCTION("""COMPUTED_VALUE"""),"Weis Pharmacy #86")</f>
        <v>Weis Pharmacy #86</v>
      </c>
      <c r="D64" s="1" t="str">
        <f ca="1">IFERROR(__xludf.DUMMYFUNCTION("""COMPUTED_VALUE"""),"165 Orville Road Essex, MD 21221")</f>
        <v>165 Orville Road Essex, MD 21221</v>
      </c>
      <c r="E64" s="1" t="str">
        <f ca="1">IFERROR(__xludf.DUMMYFUNCTION("""COMPUTED_VALUE"""),"Yes")</f>
        <v>Yes</v>
      </c>
      <c r="F64" s="1" t="str">
        <f ca="1">IFERROR(__xludf.DUMMYFUNCTION("""COMPUTED_VALUE"""),"Pharmacy")</f>
        <v>Pharmacy</v>
      </c>
      <c r="G64" s="1"/>
      <c r="H64" s="1"/>
      <c r="I64" s="2" t="str">
        <f ca="1">IFERROR(__xludf.DUMMYFUNCTION("""COMPUTED_VALUE"""),"https://www.weismarkets.com/pharmacy-services")</f>
        <v>https://www.weismarkets.com/pharmacy-services</v>
      </c>
      <c r="J64" s="1"/>
      <c r="K64" s="1"/>
      <c r="L64" s="1"/>
      <c r="M64" s="1" t="str">
        <f ca="1">IFERROR(__xludf.DUMMYFUNCTION("""COMPUTED_VALUE"""),"Schedule an appointment using the button below")</f>
        <v>Schedule an appointment using the button below</v>
      </c>
      <c r="N64" s="1"/>
      <c r="O64" s="1" t="str">
        <f ca="1">IFERROR(__xludf.DUMMYFUNCTION("""COMPUTED_VALUE"""),"Yes")</f>
        <v>Yes</v>
      </c>
      <c r="P64" s="1" t="str">
        <f ca="1">IFERROR(__xludf.DUMMYFUNCTION("""COMPUTED_VALUE"""),"21221")</f>
        <v>21221</v>
      </c>
      <c r="Q64" s="1" t="str">
        <f ca="1">IFERROR(__xludf.DUMMYFUNCTION("""COMPUTED_VALUE"""),"Yes")</f>
        <v>Yes</v>
      </c>
      <c r="R64" s="1" t="str">
        <f ca="1">IFERROR(__xludf.DUMMYFUNCTION("""COMPUTED_VALUE"""),"Yes")</f>
        <v>Yes</v>
      </c>
      <c r="S64" s="1" t="str">
        <f ca="1">IFERROR(__xludf.DUMMYFUNCTION("""COMPUTED_VALUE"""),"Yes")</f>
        <v>Yes</v>
      </c>
      <c r="T64" s="1" t="str">
        <f ca="1">IFERROR(__xludf.DUMMYFUNCTION("""COMPUTED_VALUE"""),"Yes")</f>
        <v>Yes</v>
      </c>
    </row>
    <row r="65" spans="1:20" ht="13" x14ac:dyDescent="0.6">
      <c r="A65" s="1" t="str">
        <f ca="1">IFERROR(__xludf.DUMMYFUNCTION("""COMPUTED_VALUE"""),"Baltimore")</f>
        <v>Baltimore</v>
      </c>
      <c r="B65" s="1" t="str">
        <f ca="1">IFERROR(__xludf.DUMMYFUNCTION("""COMPUTED_VALUE"""),"Baltimore")</f>
        <v>Baltimore</v>
      </c>
      <c r="C65" s="1" t="str">
        <f ca="1">IFERROR(__xludf.DUMMYFUNCTION("""COMPUTED_VALUE"""),"Weis Pharmacy #123")</f>
        <v>Weis Pharmacy #123</v>
      </c>
      <c r="D65" s="1" t="str">
        <f ca="1">IFERROR(__xludf.DUMMYFUNCTION("""COMPUTED_VALUE"""),"4126 Joppa Road Baltimore, MD 21236")</f>
        <v>4126 Joppa Road Baltimore, MD 21236</v>
      </c>
      <c r="E65" s="1" t="str">
        <f ca="1">IFERROR(__xludf.DUMMYFUNCTION("""COMPUTED_VALUE"""),"Yes")</f>
        <v>Yes</v>
      </c>
      <c r="F65" s="1" t="str">
        <f ca="1">IFERROR(__xludf.DUMMYFUNCTION("""COMPUTED_VALUE"""),"Pharmacy")</f>
        <v>Pharmacy</v>
      </c>
      <c r="G65" s="1"/>
      <c r="H65" s="1"/>
      <c r="I65" s="2" t="str">
        <f ca="1">IFERROR(__xludf.DUMMYFUNCTION("""COMPUTED_VALUE"""),"https://www.weismarkets.com/pharmacy-services")</f>
        <v>https://www.weismarkets.com/pharmacy-services</v>
      </c>
      <c r="J65" s="1"/>
      <c r="K65" s="1"/>
      <c r="L65" s="1"/>
      <c r="M65" s="1" t="str">
        <f ca="1">IFERROR(__xludf.DUMMYFUNCTION("""COMPUTED_VALUE"""),"Schedule an appointment using the button below")</f>
        <v>Schedule an appointment using the button below</v>
      </c>
      <c r="N65" s="1"/>
      <c r="O65" s="1" t="str">
        <f ca="1">IFERROR(__xludf.DUMMYFUNCTION("""COMPUTED_VALUE"""),"Yes")</f>
        <v>Yes</v>
      </c>
      <c r="P65" s="1" t="str">
        <f ca="1">IFERROR(__xludf.DUMMYFUNCTION("""COMPUTED_VALUE"""),"21236")</f>
        <v>21236</v>
      </c>
      <c r="Q65" s="1" t="str">
        <f ca="1">IFERROR(__xludf.DUMMYFUNCTION("""COMPUTED_VALUE"""),"Yes")</f>
        <v>Yes</v>
      </c>
      <c r="R65" s="1" t="str">
        <f ca="1">IFERROR(__xludf.DUMMYFUNCTION("""COMPUTED_VALUE"""),"Yes")</f>
        <v>Yes</v>
      </c>
      <c r="S65" s="1" t="str">
        <f ca="1">IFERROR(__xludf.DUMMYFUNCTION("""COMPUTED_VALUE"""),"Yes")</f>
        <v>Yes</v>
      </c>
      <c r="T65" s="1" t="str">
        <f ca="1">IFERROR(__xludf.DUMMYFUNCTION("""COMPUTED_VALUE"""),"Yes")</f>
        <v>Yes</v>
      </c>
    </row>
    <row r="66" spans="1:20" ht="13" x14ac:dyDescent="0.6">
      <c r="A66" s="1" t="str">
        <f ca="1">IFERROR(__xludf.DUMMYFUNCTION("""COMPUTED_VALUE"""),"Baltimore")</f>
        <v>Baltimore</v>
      </c>
      <c r="B66" s="1" t="str">
        <f ca="1">IFERROR(__xludf.DUMMYFUNCTION("""COMPUTED_VALUE"""),"Hunt Valley")</f>
        <v>Hunt Valley</v>
      </c>
      <c r="C66" s="1" t="str">
        <f ca="1">IFERROR(__xludf.DUMMYFUNCTION("""COMPUTED_VALUE"""),"Wegman's Pharmacy #014 Hunt Valley")</f>
        <v>Wegman's Pharmacy #014 Hunt Valley</v>
      </c>
      <c r="D66" s="1" t="str">
        <f ca="1">IFERROR(__xludf.DUMMYFUNCTION("""COMPUTED_VALUE"""),"122 Shawan Road Hunt Valley, MD 21030-1325")</f>
        <v>122 Shawan Road Hunt Valley, MD 21030-1325</v>
      </c>
      <c r="E66" s="1" t="str">
        <f ca="1">IFERROR(__xludf.DUMMYFUNCTION("""COMPUTED_VALUE"""),"Yes")</f>
        <v>Yes</v>
      </c>
      <c r="F66" s="1" t="str">
        <f ca="1">IFERROR(__xludf.DUMMYFUNCTION("""COMPUTED_VALUE"""),"Pharmacy")</f>
        <v>Pharmacy</v>
      </c>
      <c r="G66" s="1"/>
      <c r="H66" s="1"/>
      <c r="I66" s="2" t="str">
        <f ca="1">IFERROR(__xludf.DUMMYFUNCTION("""COMPUTED_VALUE"""),"https://www.wegmans.com/covid-vaccine-registration/")</f>
        <v>https://www.wegmans.com/covid-vaccine-registration/</v>
      </c>
      <c r="J66" s="1"/>
      <c r="K66" s="1"/>
      <c r="L66" s="1"/>
      <c r="M66" s="1" t="str">
        <f ca="1">IFERROR(__xludf.DUMMYFUNCTION("""COMPUTED_VALUE"""),"Schedule an appointment using the button below")</f>
        <v>Schedule an appointment using the button below</v>
      </c>
      <c r="N66" s="1"/>
      <c r="O66" s="1" t="str">
        <f ca="1">IFERROR(__xludf.DUMMYFUNCTION("""COMPUTED_VALUE"""),"Yes")</f>
        <v>Yes</v>
      </c>
      <c r="P66" s="1" t="str">
        <f ca="1">IFERROR(__xludf.DUMMYFUNCTION("""COMPUTED_VALUE"""),"-1325")</f>
        <v>-1325</v>
      </c>
      <c r="Q66" s="1" t="str">
        <f ca="1">IFERROR(__xludf.DUMMYFUNCTION("""COMPUTED_VALUE"""),"Yes")</f>
        <v>Yes</v>
      </c>
      <c r="R66" s="1" t="str">
        <f ca="1">IFERROR(__xludf.DUMMYFUNCTION("""COMPUTED_VALUE"""),"Yes")</f>
        <v>Yes</v>
      </c>
      <c r="S66" s="1" t="str">
        <f ca="1">IFERROR(__xludf.DUMMYFUNCTION("""COMPUTED_VALUE"""),"No")</f>
        <v>No</v>
      </c>
      <c r="T66" s="1" t="str">
        <f ca="1">IFERROR(__xludf.DUMMYFUNCTION("""COMPUTED_VALUE"""),"Yes")</f>
        <v>Yes</v>
      </c>
    </row>
    <row r="67" spans="1:20" ht="13" x14ac:dyDescent="0.6">
      <c r="A67" s="1" t="str">
        <f ca="1">IFERROR(__xludf.DUMMYFUNCTION("""COMPUTED_VALUE"""),"Baltimore")</f>
        <v>Baltimore</v>
      </c>
      <c r="B67" s="1" t="str">
        <f ca="1">IFERROR(__xludf.DUMMYFUNCTION("""COMPUTED_VALUE"""),"Owings Mills")</f>
        <v>Owings Mills</v>
      </c>
      <c r="C67" s="1" t="str">
        <f ca="1">IFERROR(__xludf.DUMMYFUNCTION("""COMPUTED_VALUE"""),"Wegman's Pharmacy #125 Owings Mills")</f>
        <v>Wegman's Pharmacy #125 Owings Mills</v>
      </c>
      <c r="D67" s="1" t="str">
        <f ca="1">IFERROR(__xludf.DUMMYFUNCTION("""COMPUTED_VALUE"""),"10100 Reisterstown Road Owings Mills, MD 21117")</f>
        <v>10100 Reisterstown Road Owings Mills, MD 21117</v>
      </c>
      <c r="E67" s="1" t="str">
        <f ca="1">IFERROR(__xludf.DUMMYFUNCTION("""COMPUTED_VALUE"""),"Yes")</f>
        <v>Yes</v>
      </c>
      <c r="F67" s="1" t="str">
        <f ca="1">IFERROR(__xludf.DUMMYFUNCTION("""COMPUTED_VALUE"""),"Pharmacy")</f>
        <v>Pharmacy</v>
      </c>
      <c r="G67" s="1"/>
      <c r="H67" s="1"/>
      <c r="I67" s="2" t="str">
        <f ca="1">IFERROR(__xludf.DUMMYFUNCTION("""COMPUTED_VALUE"""),"https://www.wegmans.com/covid-vaccine-registration/")</f>
        <v>https://www.wegmans.com/covid-vaccine-registration/</v>
      </c>
      <c r="J67" s="1"/>
      <c r="K67" s="1"/>
      <c r="L67" s="1"/>
      <c r="M67" s="1" t="str">
        <f ca="1">IFERROR(__xludf.DUMMYFUNCTION("""COMPUTED_VALUE"""),"Schedule an appointment using the button below")</f>
        <v>Schedule an appointment using the button below</v>
      </c>
      <c r="N67" s="1"/>
      <c r="O67" s="1" t="str">
        <f ca="1">IFERROR(__xludf.DUMMYFUNCTION("""COMPUTED_VALUE"""),"Yes")</f>
        <v>Yes</v>
      </c>
      <c r="P67" s="1" t="str">
        <f ca="1">IFERROR(__xludf.DUMMYFUNCTION("""COMPUTED_VALUE"""),"21117")</f>
        <v>21117</v>
      </c>
      <c r="Q67" s="1" t="str">
        <f ca="1">IFERROR(__xludf.DUMMYFUNCTION("""COMPUTED_VALUE"""),"Yes")</f>
        <v>Yes</v>
      </c>
      <c r="R67" s="1" t="str">
        <f ca="1">IFERROR(__xludf.DUMMYFUNCTION("""COMPUTED_VALUE"""),"Yes")</f>
        <v>Yes</v>
      </c>
      <c r="S67" s="1" t="str">
        <f ca="1">IFERROR(__xludf.DUMMYFUNCTION("""COMPUTED_VALUE"""),"No")</f>
        <v>No</v>
      </c>
      <c r="T67" s="1" t="str">
        <f ca="1">IFERROR(__xludf.DUMMYFUNCTION("""COMPUTED_VALUE"""),"Yes")</f>
        <v>Yes</v>
      </c>
    </row>
    <row r="68" spans="1:20" ht="13" x14ac:dyDescent="0.6">
      <c r="A68" s="1" t="str">
        <f ca="1">IFERROR(__xludf.DUMMYFUNCTION("""COMPUTED_VALUE"""),"Baltimore")</f>
        <v>Baltimore</v>
      </c>
      <c r="B68" s="1" t="str">
        <f ca="1">IFERROR(__xludf.DUMMYFUNCTION("""COMPUTED_VALUE"""),"Baltimore")</f>
        <v>Baltimore</v>
      </c>
      <c r="C68" s="1" t="str">
        <f ca="1">IFERROR(__xludf.DUMMYFUNCTION("""COMPUTED_VALUE"""),"Giant Food Baltimore")</f>
        <v>Giant Food Baltimore</v>
      </c>
      <c r="D68" s="1" t="str">
        <f ca="1">IFERROR(__xludf.DUMMYFUNCTION("""COMPUTED_VALUE"""),"6340 York Road Baltimore, MD 21212")</f>
        <v>6340 York Road Baltimore, MD 21212</v>
      </c>
      <c r="E68" s="1" t="str">
        <f ca="1">IFERROR(__xludf.DUMMYFUNCTION("""COMPUTED_VALUE"""),"Yes")</f>
        <v>Yes</v>
      </c>
      <c r="F68" s="1" t="str">
        <f ca="1">IFERROR(__xludf.DUMMYFUNCTION("""COMPUTED_VALUE"""),"Pharmacy")</f>
        <v>Pharmacy</v>
      </c>
      <c r="G68" s="1"/>
      <c r="H68" s="1" t="str">
        <f ca="1">IFERROR(__xludf.DUMMYFUNCTION("""COMPUTED_VALUE"""),"Sun 10am - 5pm, Mon - Fri 8am - 9pm, Sat 9am - 6pm")</f>
        <v>Sun 10am - 5pm, Mon - Fri 8am - 9pm, Sat 9am - 6pm</v>
      </c>
      <c r="I68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68" s="1"/>
      <c r="K68" s="1" t="str">
        <f ca="1">IFERROR(__xludf.DUMMYFUNCTION("""COMPUTED_VALUE"""),"410-377-4400")</f>
        <v>410-377-4400</v>
      </c>
      <c r="L68" s="1"/>
      <c r="M68" s="1" t="str">
        <f ca="1">IFERROR(__xludf.DUMMYFUNCTION("""COMPUTED_VALUE"""),"Schedule an appointment using the button below")</f>
        <v>Schedule an appointment using the button below</v>
      </c>
      <c r="N68" s="1"/>
      <c r="O68" s="1" t="str">
        <f ca="1">IFERROR(__xludf.DUMMYFUNCTION("""COMPUTED_VALUE"""),"Yes")</f>
        <v>Yes</v>
      </c>
      <c r="P68" s="1" t="str">
        <f ca="1">IFERROR(__xludf.DUMMYFUNCTION("""COMPUTED_VALUE"""),"21212")</f>
        <v>21212</v>
      </c>
      <c r="Q68" s="1" t="str">
        <f ca="1">IFERROR(__xludf.DUMMYFUNCTION("""COMPUTED_VALUE"""),"Yes")</f>
        <v>Yes</v>
      </c>
      <c r="R68" s="1" t="str">
        <f ca="1">IFERROR(__xludf.DUMMYFUNCTION("""COMPUTED_VALUE"""),"Yes")</f>
        <v>Yes</v>
      </c>
      <c r="S68" s="1" t="str">
        <f ca="1">IFERROR(__xludf.DUMMYFUNCTION("""COMPUTED_VALUE"""),"Yes")</f>
        <v>Yes</v>
      </c>
      <c r="T68" s="1" t="str">
        <f ca="1">IFERROR(__xludf.DUMMYFUNCTION("""COMPUTED_VALUE"""),"Yes")</f>
        <v>Yes</v>
      </c>
    </row>
    <row r="69" spans="1:20" ht="13" x14ac:dyDescent="0.6">
      <c r="A69" s="1" t="str">
        <f ca="1">IFERROR(__xludf.DUMMYFUNCTION("""COMPUTED_VALUE"""),"Baltimore")</f>
        <v>Baltimore</v>
      </c>
      <c r="B69" s="1" t="str">
        <f ca="1">IFERROR(__xludf.DUMMYFUNCTION("""COMPUTED_VALUE"""),"Baltimore")</f>
        <v>Baltimore</v>
      </c>
      <c r="C69" s="1" t="str">
        <f ca="1">IFERROR(__xludf.DUMMYFUNCTION("""COMPUTED_VALUE"""),"Giant Food Baltimore")</f>
        <v>Giant Food Baltimore</v>
      </c>
      <c r="D69" s="1" t="str">
        <f ca="1">IFERROR(__xludf.DUMMYFUNCTION("""COMPUTED_VALUE"""),"8100 Loch Raven Boulevard Baltimore, MD 21286")</f>
        <v>8100 Loch Raven Boulevard Baltimore, MD 21286</v>
      </c>
      <c r="E69" s="1" t="str">
        <f ca="1">IFERROR(__xludf.DUMMYFUNCTION("""COMPUTED_VALUE"""),"Yes")</f>
        <v>Yes</v>
      </c>
      <c r="F69" s="1" t="str">
        <f ca="1">IFERROR(__xludf.DUMMYFUNCTION("""COMPUTED_VALUE"""),"Pharmacy")</f>
        <v>Pharmacy</v>
      </c>
      <c r="G69" s="1"/>
      <c r="H69" s="1" t="str">
        <f ca="1">IFERROR(__xludf.DUMMYFUNCTION("""COMPUTED_VALUE"""),"Sun 9am - 5pm, Mon - Fri 8am - 10pm, Sat 9am - 7pm")</f>
        <v>Sun 9am - 5pm, Mon - Fri 8am - 10pm, Sat 9am - 7pm</v>
      </c>
      <c r="I69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69" s="1"/>
      <c r="K69" s="1" t="str">
        <f ca="1">IFERROR(__xludf.DUMMYFUNCTION("""COMPUTED_VALUE"""),"410-821-6611")</f>
        <v>410-821-6611</v>
      </c>
      <c r="L69" s="1"/>
      <c r="M69" s="1" t="str">
        <f ca="1">IFERROR(__xludf.DUMMYFUNCTION("""COMPUTED_VALUE"""),"Schedule an appointment using the button below")</f>
        <v>Schedule an appointment using the button below</v>
      </c>
      <c r="N69" s="1"/>
      <c r="O69" s="1" t="str">
        <f ca="1">IFERROR(__xludf.DUMMYFUNCTION("""COMPUTED_VALUE"""),"Yes")</f>
        <v>Yes</v>
      </c>
      <c r="P69" s="1" t="str">
        <f ca="1">IFERROR(__xludf.DUMMYFUNCTION("""COMPUTED_VALUE"""),"21286")</f>
        <v>21286</v>
      </c>
      <c r="Q69" s="1" t="str">
        <f ca="1">IFERROR(__xludf.DUMMYFUNCTION("""COMPUTED_VALUE"""),"Yes")</f>
        <v>Yes</v>
      </c>
      <c r="R69" s="1" t="str">
        <f ca="1">IFERROR(__xludf.DUMMYFUNCTION("""COMPUTED_VALUE"""),"Yes")</f>
        <v>Yes</v>
      </c>
      <c r="S69" s="1" t="str">
        <f ca="1">IFERROR(__xludf.DUMMYFUNCTION("""COMPUTED_VALUE"""),"Yes")</f>
        <v>Yes</v>
      </c>
      <c r="T69" s="1" t="str">
        <f ca="1">IFERROR(__xludf.DUMMYFUNCTION("""COMPUTED_VALUE"""),"Yes")</f>
        <v>Yes</v>
      </c>
    </row>
    <row r="70" spans="1:20" ht="13" x14ac:dyDescent="0.6">
      <c r="A70" s="1" t="str">
        <f ca="1">IFERROR(__xludf.DUMMYFUNCTION("""COMPUTED_VALUE"""),"Baltimore")</f>
        <v>Baltimore</v>
      </c>
      <c r="B70" s="1" t="str">
        <f ca="1">IFERROR(__xludf.DUMMYFUNCTION("""COMPUTED_VALUE"""),"Owings Mills")</f>
        <v>Owings Mills</v>
      </c>
      <c r="C70" s="1" t="str">
        <f ca="1">IFERROR(__xludf.DUMMYFUNCTION("""COMPUTED_VALUE"""),"Giant Food Owings Mills")</f>
        <v>Giant Food Owings Mills</v>
      </c>
      <c r="D70" s="1" t="str">
        <f ca="1">IFERROR(__xludf.DUMMYFUNCTION("""COMPUTED_VALUE"""),"10210 Mill Run Circle Owings Mills, MD 21117")</f>
        <v>10210 Mill Run Circle Owings Mills, MD 21117</v>
      </c>
      <c r="E70" s="1" t="str">
        <f ca="1">IFERROR(__xludf.DUMMYFUNCTION("""COMPUTED_VALUE"""),"Yes")</f>
        <v>Yes</v>
      </c>
      <c r="F70" s="1" t="str">
        <f ca="1">IFERROR(__xludf.DUMMYFUNCTION("""COMPUTED_VALUE"""),"Pharmacy")</f>
        <v>Pharmacy</v>
      </c>
      <c r="G70" s="1"/>
      <c r="H70" s="1" t="str">
        <f ca="1">IFERROR(__xludf.DUMMYFUNCTION("""COMPUTED_VALUE"""),"Sun 10am - 5pm, Mon - Fri 9am - 9pm, Sat 9am - 6pm")</f>
        <v>Sun 10am - 5pm, Mon - Fri 9am - 9pm, Sat 9am - 6pm</v>
      </c>
      <c r="I70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70" s="1"/>
      <c r="K70" s="1" t="str">
        <f ca="1">IFERROR(__xludf.DUMMYFUNCTION("""COMPUTED_VALUE"""),"410-413-2965")</f>
        <v>410-413-2965</v>
      </c>
      <c r="L70" s="1"/>
      <c r="M70" s="1" t="str">
        <f ca="1">IFERROR(__xludf.DUMMYFUNCTION("""COMPUTED_VALUE"""),"Schedule an appointment using the button below")</f>
        <v>Schedule an appointment using the button below</v>
      </c>
      <c r="N70" s="1"/>
      <c r="O70" s="1" t="str">
        <f ca="1">IFERROR(__xludf.DUMMYFUNCTION("""COMPUTED_VALUE"""),"Yes")</f>
        <v>Yes</v>
      </c>
      <c r="P70" s="1" t="str">
        <f ca="1">IFERROR(__xludf.DUMMYFUNCTION("""COMPUTED_VALUE"""),"21117")</f>
        <v>21117</v>
      </c>
      <c r="Q70" s="1" t="str">
        <f ca="1">IFERROR(__xludf.DUMMYFUNCTION("""COMPUTED_VALUE"""),"No")</f>
        <v>No</v>
      </c>
      <c r="R70" s="1" t="str">
        <f ca="1">IFERROR(__xludf.DUMMYFUNCTION("""COMPUTED_VALUE"""),"No")</f>
        <v>No</v>
      </c>
      <c r="S70" s="1" t="str">
        <f ca="1">IFERROR(__xludf.DUMMYFUNCTION("""COMPUTED_VALUE"""),"No")</f>
        <v>No</v>
      </c>
      <c r="T70" s="1" t="str">
        <f ca="1">IFERROR(__xludf.DUMMYFUNCTION("""COMPUTED_VALUE"""),"Yes")</f>
        <v>Yes</v>
      </c>
    </row>
    <row r="71" spans="1:20" ht="13" x14ac:dyDescent="0.6">
      <c r="A71" s="1" t="str">
        <f ca="1">IFERROR(__xludf.DUMMYFUNCTION("""COMPUTED_VALUE"""),"Baltimore")</f>
        <v>Baltimore</v>
      </c>
      <c r="B71" s="1" t="str">
        <f ca="1">IFERROR(__xludf.DUMMYFUNCTION("""COMPUTED_VALUE"""),"Nottingham")</f>
        <v>Nottingham</v>
      </c>
      <c r="C71" s="1" t="str">
        <f ca="1">IFERROR(__xludf.DUMMYFUNCTION("""COMPUTED_VALUE"""),"Walmart Nottingham")</f>
        <v>Walmart Nottingham</v>
      </c>
      <c r="D71" s="1" t="str">
        <f ca="1">IFERROR(__xludf.DUMMYFUNCTION("""COMPUTED_VALUE"""),"8118 Perry Hills Ct Nottingham, MD 21236")</f>
        <v>8118 Perry Hills Ct Nottingham, MD 21236</v>
      </c>
      <c r="E71" s="1" t="str">
        <f ca="1">IFERROR(__xludf.DUMMYFUNCTION("""COMPUTED_VALUE"""),"Yes")</f>
        <v>Yes</v>
      </c>
      <c r="F71" s="1" t="str">
        <f ca="1">IFERROR(__xludf.DUMMYFUNCTION("""COMPUTED_VALUE"""),"Pharmacy")</f>
        <v>Pharmacy</v>
      </c>
      <c r="G71" s="1"/>
      <c r="H71" s="1"/>
      <c r="I71" s="2" t="str">
        <f ca="1">IFERROR(__xludf.DUMMYFUNCTION("""COMPUTED_VALUE"""),"https://walmart.com/covidvaccine")</f>
        <v>https://walmart.com/covidvaccine</v>
      </c>
      <c r="J71" s="1"/>
      <c r="K71" s="1" t="str">
        <f ca="1">IFERROR(__xludf.DUMMYFUNCTION("""COMPUTED_VALUE"""),"410-882-9943")</f>
        <v>410-882-9943</v>
      </c>
      <c r="L71" s="1"/>
      <c r="M71" s="1" t="str">
        <f ca="1">IFERROR(__xludf.DUMMYFUNCTION("""COMPUTED_VALUE"""),"Schedule an appointment using the button below")</f>
        <v>Schedule an appointment using the button below</v>
      </c>
      <c r="N71" s="1"/>
      <c r="O71" s="1" t="str">
        <f ca="1">IFERROR(__xludf.DUMMYFUNCTION("""COMPUTED_VALUE"""),"Yes")</f>
        <v>Yes</v>
      </c>
      <c r="P71" s="1" t="str">
        <f ca="1">IFERROR(__xludf.DUMMYFUNCTION("""COMPUTED_VALUE"""),"21236")</f>
        <v>21236</v>
      </c>
      <c r="Q71" s="1" t="str">
        <f ca="1">IFERROR(__xludf.DUMMYFUNCTION("""COMPUTED_VALUE"""),"Yes")</f>
        <v>Yes</v>
      </c>
      <c r="R71" s="1" t="str">
        <f ca="1">IFERROR(__xludf.DUMMYFUNCTION("""COMPUTED_VALUE"""),"No")</f>
        <v>No</v>
      </c>
      <c r="S71" s="1" t="str">
        <f ca="1">IFERROR(__xludf.DUMMYFUNCTION("""COMPUTED_VALUE"""),"Yes")</f>
        <v>Yes</v>
      </c>
      <c r="T71" s="1" t="str">
        <f ca="1">IFERROR(__xludf.DUMMYFUNCTION("""COMPUTED_VALUE"""),"Yes")</f>
        <v>Yes</v>
      </c>
    </row>
    <row r="72" spans="1:20" ht="13" x14ac:dyDescent="0.6">
      <c r="A72" s="1" t="str">
        <f ca="1">IFERROR(__xludf.DUMMYFUNCTION("""COMPUTED_VALUE"""),"Baltimore")</f>
        <v>Baltimore</v>
      </c>
      <c r="B72" s="1" t="str">
        <f ca="1">IFERROR(__xludf.DUMMYFUNCTION("""COMPUTED_VALUE"""),"Owings Mills")</f>
        <v>Owings Mills</v>
      </c>
      <c r="C72" s="1" t="str">
        <f ca="1">IFERROR(__xludf.DUMMYFUNCTION("""COMPUTED_VALUE"""),"Walmart Owings Mills")</f>
        <v>Walmart Owings Mills</v>
      </c>
      <c r="D72" s="1" t="str">
        <f ca="1">IFERROR(__xludf.DUMMYFUNCTION("""COMPUTED_VALUE"""),"9750 Reisterstown Rd Ste A Owings Mills, MD 21117")</f>
        <v>9750 Reisterstown Rd Ste A Owings Mills, MD 21117</v>
      </c>
      <c r="E72" s="1" t="str">
        <f ca="1">IFERROR(__xludf.DUMMYFUNCTION("""COMPUTED_VALUE"""),"Yes")</f>
        <v>Yes</v>
      </c>
      <c r="F72" s="1" t="str">
        <f ca="1">IFERROR(__xludf.DUMMYFUNCTION("""COMPUTED_VALUE"""),"Pharmacy")</f>
        <v>Pharmacy</v>
      </c>
      <c r="G72" s="1"/>
      <c r="H72" s="1"/>
      <c r="I72" s="2" t="str">
        <f ca="1">IFERROR(__xludf.DUMMYFUNCTION("""COMPUTED_VALUE"""),"https://walmart.com/covidvaccine")</f>
        <v>https://walmart.com/covidvaccine</v>
      </c>
      <c r="J72" s="1"/>
      <c r="K72" s="1" t="str">
        <f ca="1">IFERROR(__xludf.DUMMYFUNCTION("""COMPUTED_VALUE"""),"443-394-0987")</f>
        <v>443-394-0987</v>
      </c>
      <c r="L72" s="1"/>
      <c r="M72" s="1" t="str">
        <f ca="1">IFERROR(__xludf.DUMMYFUNCTION("""COMPUTED_VALUE"""),"Schedule an appointment using the button below")</f>
        <v>Schedule an appointment using the button below</v>
      </c>
      <c r="N72" s="1"/>
      <c r="O72" s="1"/>
      <c r="P72" s="1" t="str">
        <f ca="1">IFERROR(__xludf.DUMMYFUNCTION("""COMPUTED_VALUE"""),"21117")</f>
        <v>21117</v>
      </c>
      <c r="Q72" s="1" t="str">
        <f ca="1">IFERROR(__xludf.DUMMYFUNCTION("""COMPUTED_VALUE"""),"No")</f>
        <v>No</v>
      </c>
      <c r="R72" s="1" t="str">
        <f ca="1">IFERROR(__xludf.DUMMYFUNCTION("""COMPUTED_VALUE"""),"No")</f>
        <v>No</v>
      </c>
      <c r="S72" s="1" t="str">
        <f ca="1">IFERROR(__xludf.DUMMYFUNCTION("""COMPUTED_VALUE"""),"No")</f>
        <v>No</v>
      </c>
      <c r="T72" s="1" t="str">
        <f ca="1">IFERROR(__xludf.DUMMYFUNCTION("""COMPUTED_VALUE"""),"Yes")</f>
        <v>Yes</v>
      </c>
    </row>
    <row r="73" spans="1:20" ht="13" x14ac:dyDescent="0.6">
      <c r="A73" s="1" t="str">
        <f ca="1">IFERROR(__xludf.DUMMYFUNCTION("""COMPUTED_VALUE"""),"Baltimore")</f>
        <v>Baltimore</v>
      </c>
      <c r="B73" s="1" t="str">
        <f ca="1">IFERROR(__xludf.DUMMYFUNCTION("""COMPUTED_VALUE"""),"Dundalk")</f>
        <v>Dundalk</v>
      </c>
      <c r="C73" s="1" t="str">
        <f ca="1">IFERROR(__xludf.DUMMYFUNCTION("""COMPUTED_VALUE"""),"Walmart Dundalk")</f>
        <v>Walmart Dundalk</v>
      </c>
      <c r="D73" s="1" t="str">
        <f ca="1">IFERROR(__xludf.DUMMYFUNCTION("""COMPUTED_VALUE"""),"2399 N Point Blvd Dundalk, MD 21222")</f>
        <v>2399 N Point Blvd Dundalk, MD 21222</v>
      </c>
      <c r="E73" s="1" t="str">
        <f ca="1">IFERROR(__xludf.DUMMYFUNCTION("""COMPUTED_VALUE"""),"Yes")</f>
        <v>Yes</v>
      </c>
      <c r="F73" s="1" t="str">
        <f ca="1">IFERROR(__xludf.DUMMYFUNCTION("""COMPUTED_VALUE"""),"Pharmacy")</f>
        <v>Pharmacy</v>
      </c>
      <c r="G73" s="1"/>
      <c r="H73" s="1"/>
      <c r="I73" s="2" t="str">
        <f ca="1">IFERROR(__xludf.DUMMYFUNCTION("""COMPUTED_VALUE"""),"https://walmart.com/covidvaccine")</f>
        <v>https://walmart.com/covidvaccine</v>
      </c>
      <c r="J73" s="1"/>
      <c r="K73" s="1" t="str">
        <f ca="1">IFERROR(__xludf.DUMMYFUNCTION("""COMPUTED_VALUE"""),"410-284-0126")</f>
        <v>410-284-0126</v>
      </c>
      <c r="L73" s="1"/>
      <c r="M73" s="1" t="str">
        <f ca="1">IFERROR(__xludf.DUMMYFUNCTION("""COMPUTED_VALUE"""),"Schedule an appointment using the button below")</f>
        <v>Schedule an appointment using the button below</v>
      </c>
      <c r="N73" s="1"/>
      <c r="O73" s="1" t="str">
        <f ca="1">IFERROR(__xludf.DUMMYFUNCTION("""COMPUTED_VALUE"""),"Yes")</f>
        <v>Yes</v>
      </c>
      <c r="P73" s="1" t="str">
        <f ca="1">IFERROR(__xludf.DUMMYFUNCTION("""COMPUTED_VALUE"""),"21222")</f>
        <v>21222</v>
      </c>
      <c r="Q73" s="1" t="str">
        <f ca="1">IFERROR(__xludf.DUMMYFUNCTION("""COMPUTED_VALUE"""),"Yes")</f>
        <v>Yes</v>
      </c>
      <c r="R73" s="1" t="str">
        <f ca="1">IFERROR(__xludf.DUMMYFUNCTION("""COMPUTED_VALUE"""),"No")</f>
        <v>No</v>
      </c>
      <c r="S73" s="1" t="str">
        <f ca="1">IFERROR(__xludf.DUMMYFUNCTION("""COMPUTED_VALUE"""),"No")</f>
        <v>No</v>
      </c>
      <c r="T73" s="1" t="str">
        <f ca="1">IFERROR(__xludf.DUMMYFUNCTION("""COMPUTED_VALUE"""),"Yes")</f>
        <v>Yes</v>
      </c>
    </row>
    <row r="74" spans="1:20" ht="13" x14ac:dyDescent="0.6">
      <c r="A74" s="1" t="str">
        <f ca="1">IFERROR(__xludf.DUMMYFUNCTION("""COMPUTED_VALUE"""),"Baltimore")</f>
        <v>Baltimore</v>
      </c>
      <c r="B74" s="1" t="str">
        <f ca="1">IFERROR(__xludf.DUMMYFUNCTION("""COMPUTED_VALUE"""),"Baltimore")</f>
        <v>Baltimore</v>
      </c>
      <c r="C74" s="1" t="str">
        <f ca="1">IFERROR(__xludf.DUMMYFUNCTION("""COMPUTED_VALUE"""),"Walmart Baltimore")</f>
        <v>Walmart Baltimore</v>
      </c>
      <c r="D74" s="1" t="str">
        <f ca="1">IFERROR(__xludf.DUMMYFUNCTION("""COMPUTED_VALUE"""),"6420 Petrie Way Baltimore, MD 21237")</f>
        <v>6420 Petrie Way Baltimore, MD 21237</v>
      </c>
      <c r="E74" s="1" t="str">
        <f ca="1">IFERROR(__xludf.DUMMYFUNCTION("""COMPUTED_VALUE"""),"Yes")</f>
        <v>Yes</v>
      </c>
      <c r="F74" s="1" t="str">
        <f ca="1">IFERROR(__xludf.DUMMYFUNCTION("""COMPUTED_VALUE"""),"Pharmacy")</f>
        <v>Pharmacy</v>
      </c>
      <c r="G74" s="1"/>
      <c r="H74" s="1"/>
      <c r="I74" s="2" t="str">
        <f ca="1">IFERROR(__xludf.DUMMYFUNCTION("""COMPUTED_VALUE"""),"https://walmart.com/covidvaccine")</f>
        <v>https://walmart.com/covidvaccine</v>
      </c>
      <c r="J74" s="1"/>
      <c r="K74" s="1" t="str">
        <f ca="1">IFERROR(__xludf.DUMMYFUNCTION("""COMPUTED_VALUE"""),"410-687-6832")</f>
        <v>410-687-6832</v>
      </c>
      <c r="L74" s="1"/>
      <c r="M74" s="1" t="str">
        <f ca="1">IFERROR(__xludf.DUMMYFUNCTION("""COMPUTED_VALUE"""),"Schedule an appointment using the button below")</f>
        <v>Schedule an appointment using the button below</v>
      </c>
      <c r="N74" s="1"/>
      <c r="O74" s="1" t="str">
        <f ca="1">IFERROR(__xludf.DUMMYFUNCTION("""COMPUTED_VALUE"""),"Yes")</f>
        <v>Yes</v>
      </c>
      <c r="P74" s="1" t="str">
        <f ca="1">IFERROR(__xludf.DUMMYFUNCTION("""COMPUTED_VALUE"""),"21237")</f>
        <v>21237</v>
      </c>
      <c r="Q74" s="1" t="str">
        <f ca="1">IFERROR(__xludf.DUMMYFUNCTION("""COMPUTED_VALUE"""),"Yes")</f>
        <v>Yes</v>
      </c>
      <c r="R74" s="1" t="str">
        <f ca="1">IFERROR(__xludf.DUMMYFUNCTION("""COMPUTED_VALUE"""),"No")</f>
        <v>No</v>
      </c>
      <c r="S74" s="1" t="str">
        <f ca="1">IFERROR(__xludf.DUMMYFUNCTION("""COMPUTED_VALUE"""),"Yes")</f>
        <v>Yes</v>
      </c>
      <c r="T74" s="1" t="str">
        <f ca="1">IFERROR(__xludf.DUMMYFUNCTION("""COMPUTED_VALUE"""),"Yes")</f>
        <v>Yes</v>
      </c>
    </row>
    <row r="75" spans="1:20" ht="13" x14ac:dyDescent="0.6">
      <c r="A75" s="1" t="str">
        <f ca="1">IFERROR(__xludf.DUMMYFUNCTION("""COMPUTED_VALUE"""),"Baltimore")</f>
        <v>Baltimore</v>
      </c>
      <c r="B75" s="1" t="str">
        <f ca="1">IFERROR(__xludf.DUMMYFUNCTION("""COMPUTED_VALUE"""),"Arbutus")</f>
        <v>Arbutus</v>
      </c>
      <c r="C75" s="1" t="str">
        <f ca="1">IFERROR(__xludf.DUMMYFUNCTION("""COMPUTED_VALUE"""),"Walmart Arbutus")</f>
        <v>Walmart Arbutus</v>
      </c>
      <c r="D75" s="1" t="str">
        <f ca="1">IFERROR(__xludf.DUMMYFUNCTION("""COMPUTED_VALUE"""),"3601 Washington Blvd Arbutus, MD 21227")</f>
        <v>3601 Washington Blvd Arbutus, MD 21227</v>
      </c>
      <c r="E75" s="1" t="str">
        <f ca="1">IFERROR(__xludf.DUMMYFUNCTION("""COMPUTED_VALUE"""),"Yes")</f>
        <v>Yes</v>
      </c>
      <c r="F75" s="1" t="str">
        <f ca="1">IFERROR(__xludf.DUMMYFUNCTION("""COMPUTED_VALUE"""),"Pharmacy")</f>
        <v>Pharmacy</v>
      </c>
      <c r="G75" s="1"/>
      <c r="H75" s="1"/>
      <c r="I75" s="2" t="str">
        <f ca="1">IFERROR(__xludf.DUMMYFUNCTION("""COMPUTED_VALUE"""),"https://walmart.com/covidvaccine")</f>
        <v>https://walmart.com/covidvaccine</v>
      </c>
      <c r="J75" s="1"/>
      <c r="K75" s="1" t="str">
        <f ca="1">IFERROR(__xludf.DUMMYFUNCTION("""COMPUTED_VALUE"""),"410-737-7712")</f>
        <v>410-737-7712</v>
      </c>
      <c r="L75" s="1"/>
      <c r="M75" s="1" t="str">
        <f ca="1">IFERROR(__xludf.DUMMYFUNCTION("""COMPUTED_VALUE"""),"Schedule an appointment using the button below")</f>
        <v>Schedule an appointment using the button below</v>
      </c>
      <c r="N75" s="1"/>
      <c r="O75" s="1" t="str">
        <f ca="1">IFERROR(__xludf.DUMMYFUNCTION("""COMPUTED_VALUE"""),"Yes")</f>
        <v>Yes</v>
      </c>
      <c r="P75" s="1" t="str">
        <f ca="1">IFERROR(__xludf.DUMMYFUNCTION("""COMPUTED_VALUE"""),"21227")</f>
        <v>21227</v>
      </c>
      <c r="Q75" s="1" t="str">
        <f ca="1">IFERROR(__xludf.DUMMYFUNCTION("""COMPUTED_VALUE"""),"Yes")</f>
        <v>Yes</v>
      </c>
      <c r="R75" s="1" t="str">
        <f ca="1">IFERROR(__xludf.DUMMYFUNCTION("""COMPUTED_VALUE"""),"No")</f>
        <v>No</v>
      </c>
      <c r="S75" s="1" t="str">
        <f ca="1">IFERROR(__xludf.DUMMYFUNCTION("""COMPUTED_VALUE"""),"No")</f>
        <v>No</v>
      </c>
      <c r="T75" s="1" t="str">
        <f ca="1">IFERROR(__xludf.DUMMYFUNCTION("""COMPUTED_VALUE"""),"Yes")</f>
        <v>Yes</v>
      </c>
    </row>
    <row r="76" spans="1:20" ht="13" x14ac:dyDescent="0.6">
      <c r="A76" s="1" t="str">
        <f ca="1">IFERROR(__xludf.DUMMYFUNCTION("""COMPUTED_VALUE"""),"Baltimore")</f>
        <v>Baltimore</v>
      </c>
      <c r="B76" s="1" t="str">
        <f ca="1">IFERROR(__xludf.DUMMYFUNCTION("""COMPUTED_VALUE"""),"Randallstown")</f>
        <v>Randallstown</v>
      </c>
      <c r="C76" s="1" t="str">
        <f ca="1">IFERROR(__xludf.DUMMYFUNCTION("""COMPUTED_VALUE"""),"Walmart Randallstown")</f>
        <v>Walmart Randallstown</v>
      </c>
      <c r="D76" s="1" t="str">
        <f ca="1">IFERROR(__xludf.DUMMYFUNCTION("""COMPUTED_VALUE"""),"8730 Liberty Rd Randallstown, MD 21133")</f>
        <v>8730 Liberty Rd Randallstown, MD 21133</v>
      </c>
      <c r="E76" s="1" t="str">
        <f ca="1">IFERROR(__xludf.DUMMYFUNCTION("""COMPUTED_VALUE"""),"Yes")</f>
        <v>Yes</v>
      </c>
      <c r="F76" s="1" t="str">
        <f ca="1">IFERROR(__xludf.DUMMYFUNCTION("""COMPUTED_VALUE"""),"Pharmacy")</f>
        <v>Pharmacy</v>
      </c>
      <c r="G76" s="1"/>
      <c r="H76" s="1"/>
      <c r="I76" s="2" t="str">
        <f ca="1">IFERROR(__xludf.DUMMYFUNCTION("""COMPUTED_VALUE"""),"https://walmart.com/covidvaccine")</f>
        <v>https://walmart.com/covidvaccine</v>
      </c>
      <c r="J76" s="1"/>
      <c r="K76" s="1" t="str">
        <f ca="1">IFERROR(__xludf.DUMMYFUNCTION("""COMPUTED_VALUE"""),"443-576-3155")</f>
        <v>443-576-3155</v>
      </c>
      <c r="L76" s="1"/>
      <c r="M76" s="1" t="str">
        <f ca="1">IFERROR(__xludf.DUMMYFUNCTION("""COMPUTED_VALUE"""),"Schedule an appointment using the button below")</f>
        <v>Schedule an appointment using the button below</v>
      </c>
      <c r="N76" s="1"/>
      <c r="O76" s="1"/>
      <c r="P76" s="1" t="str">
        <f ca="1">IFERROR(__xludf.DUMMYFUNCTION("""COMPUTED_VALUE"""),"21133")</f>
        <v>21133</v>
      </c>
      <c r="Q76" s="1" t="str">
        <f ca="1">IFERROR(__xludf.DUMMYFUNCTION("""COMPUTED_VALUE"""),"Yes")</f>
        <v>Yes</v>
      </c>
      <c r="R76" s="1" t="str">
        <f ca="1">IFERROR(__xludf.DUMMYFUNCTION("""COMPUTED_VALUE"""),"Yes")</f>
        <v>Yes</v>
      </c>
      <c r="S76" s="1" t="str">
        <f ca="1">IFERROR(__xludf.DUMMYFUNCTION("""COMPUTED_VALUE"""),"Yes")</f>
        <v>Yes</v>
      </c>
      <c r="T76" s="1" t="str">
        <f ca="1">IFERROR(__xludf.DUMMYFUNCTION("""COMPUTED_VALUE"""),"Yes")</f>
        <v>Yes</v>
      </c>
    </row>
    <row r="77" spans="1:20" ht="13" x14ac:dyDescent="0.6">
      <c r="A77" s="1" t="str">
        <f ca="1">IFERROR(__xludf.DUMMYFUNCTION("""COMPUTED_VALUE"""),"Baltimore")</f>
        <v>Baltimore</v>
      </c>
      <c r="B77" s="1" t="str">
        <f ca="1">IFERROR(__xludf.DUMMYFUNCTION("""COMPUTED_VALUE"""),"Timonium")</f>
        <v>Timonium</v>
      </c>
      <c r="C77" s="1" t="str">
        <f ca="1">IFERROR(__xludf.DUMMYFUNCTION("""COMPUTED_VALUE"""),"Sam's Club Timonium")</f>
        <v>Sam's Club Timonium</v>
      </c>
      <c r="D77" s="1" t="str">
        <f ca="1">IFERROR(__xludf.DUMMYFUNCTION("""COMPUTED_VALUE"""),"15 Texas Station Ct Timonium, MD 21093")</f>
        <v>15 Texas Station Ct Timonium, MD 21093</v>
      </c>
      <c r="E77" s="1" t="str">
        <f ca="1">IFERROR(__xludf.DUMMYFUNCTION("""COMPUTED_VALUE"""),"Yes")</f>
        <v>Yes</v>
      </c>
      <c r="F77" s="1" t="str">
        <f ca="1">IFERROR(__xludf.DUMMYFUNCTION("""COMPUTED_VALUE"""),"Pharmacy")</f>
        <v>Pharmacy</v>
      </c>
      <c r="G77" s="1"/>
      <c r="H77" s="1"/>
      <c r="I77" s="2" t="str">
        <f ca="1">IFERROR(__xludf.DUMMYFUNCTION("""COMPUTED_VALUE"""),"https://www.samsclub.com/pharmacy")</f>
        <v>https://www.samsclub.com/pharmacy</v>
      </c>
      <c r="J77" s="1"/>
      <c r="K77" s="1" t="str">
        <f ca="1">IFERROR(__xludf.DUMMYFUNCTION("""COMPUTED_VALUE"""),"410-628-7264")</f>
        <v>410-628-7264</v>
      </c>
      <c r="L77" s="1"/>
      <c r="M77" s="1" t="str">
        <f ca="1">IFERROR(__xludf.DUMMYFUNCTION("""COMPUTED_VALUE"""),"Schedule an appointment using the button below")</f>
        <v>Schedule an appointment using the button below</v>
      </c>
      <c r="N77" s="1"/>
      <c r="O77" s="1"/>
      <c r="P77" s="1" t="str">
        <f ca="1">IFERROR(__xludf.DUMMYFUNCTION("""COMPUTED_VALUE"""),"21093")</f>
        <v>21093</v>
      </c>
      <c r="Q77" s="1" t="str">
        <f ca="1">IFERROR(__xludf.DUMMYFUNCTION("""COMPUTED_VALUE"""),"No")</f>
        <v>No</v>
      </c>
      <c r="R77" s="1" t="str">
        <f ca="1">IFERROR(__xludf.DUMMYFUNCTION("""COMPUTED_VALUE"""),"Yes")</f>
        <v>Yes</v>
      </c>
      <c r="S77" s="1" t="str">
        <f ca="1">IFERROR(__xludf.DUMMYFUNCTION("""COMPUTED_VALUE"""),"No")</f>
        <v>No</v>
      </c>
      <c r="T77" s="1" t="str">
        <f ca="1">IFERROR(__xludf.DUMMYFUNCTION("""COMPUTED_VALUE"""),"Yes")</f>
        <v>Yes</v>
      </c>
    </row>
    <row r="78" spans="1:20" ht="13" x14ac:dyDescent="0.6">
      <c r="A78" s="1" t="str">
        <f ca="1">IFERROR(__xludf.DUMMYFUNCTION("""COMPUTED_VALUE"""),"Baltimore")</f>
        <v>Baltimore</v>
      </c>
      <c r="B78" s="1" t="str">
        <f ca="1">IFERROR(__xludf.DUMMYFUNCTION("""COMPUTED_VALUE"""),"Baltimore")</f>
        <v>Baltimore</v>
      </c>
      <c r="C78" s="1" t="str">
        <f ca="1">IFERROR(__xludf.DUMMYFUNCTION("""COMPUTED_VALUE"""),"Sam's Club Baltimore")</f>
        <v>Sam's Club Baltimore</v>
      </c>
      <c r="D78" s="1" t="str">
        <f ca="1">IFERROR(__xludf.DUMMYFUNCTION("""COMPUTED_VALUE"""),"6410 Petrie Way Baltimore, MD 21237")</f>
        <v>6410 Petrie Way Baltimore, MD 21237</v>
      </c>
      <c r="E78" s="1" t="str">
        <f ca="1">IFERROR(__xludf.DUMMYFUNCTION("""COMPUTED_VALUE"""),"Yes")</f>
        <v>Yes</v>
      </c>
      <c r="F78" s="1" t="str">
        <f ca="1">IFERROR(__xludf.DUMMYFUNCTION("""COMPUTED_VALUE"""),"Pharmacy")</f>
        <v>Pharmacy</v>
      </c>
      <c r="G78" s="1"/>
      <c r="H78" s="1"/>
      <c r="I78" s="2" t="str">
        <f ca="1">IFERROR(__xludf.DUMMYFUNCTION("""COMPUTED_VALUE"""),"https://www.samsclub.com/pharmacy")</f>
        <v>https://www.samsclub.com/pharmacy</v>
      </c>
      <c r="J78" s="1"/>
      <c r="K78" s="1" t="str">
        <f ca="1">IFERROR(__xludf.DUMMYFUNCTION("""COMPUTED_VALUE"""),"410-686-7649")</f>
        <v>410-686-7649</v>
      </c>
      <c r="L78" s="1"/>
      <c r="M78" s="1" t="str">
        <f ca="1">IFERROR(__xludf.DUMMYFUNCTION("""COMPUTED_VALUE"""),"Schedule an appointment using the button below")</f>
        <v>Schedule an appointment using the button below</v>
      </c>
      <c r="N78" s="1"/>
      <c r="O78" s="1"/>
      <c r="P78" s="1" t="str">
        <f ca="1">IFERROR(__xludf.DUMMYFUNCTION("""COMPUTED_VALUE"""),"21237")</f>
        <v>21237</v>
      </c>
      <c r="Q78" s="1" t="str">
        <f ca="1">IFERROR(__xludf.DUMMYFUNCTION("""COMPUTED_VALUE"""),"No")</f>
        <v>No</v>
      </c>
      <c r="R78" s="1" t="str">
        <f ca="1">IFERROR(__xludf.DUMMYFUNCTION("""COMPUTED_VALUE"""),"Yes")</f>
        <v>Yes</v>
      </c>
      <c r="S78" s="1" t="str">
        <f ca="1">IFERROR(__xludf.DUMMYFUNCTION("""COMPUTED_VALUE"""),"No")</f>
        <v>No</v>
      </c>
      <c r="T78" s="1" t="str">
        <f ca="1">IFERROR(__xludf.DUMMYFUNCTION("""COMPUTED_VALUE"""),"Yes")</f>
        <v>Yes</v>
      </c>
    </row>
    <row r="79" spans="1:20" ht="13" x14ac:dyDescent="0.6">
      <c r="A79" s="1" t="str">
        <f ca="1">IFERROR(__xludf.DUMMYFUNCTION("""COMPUTED_VALUE"""),"Baltimore")</f>
        <v>Baltimore</v>
      </c>
      <c r="B79" s="1" t="str">
        <f ca="1">IFERROR(__xludf.DUMMYFUNCTION("""COMPUTED_VALUE"""),"Catonsville")</f>
        <v>Catonsville</v>
      </c>
      <c r="C79" s="1" t="str">
        <f ca="1">IFERROR(__xludf.DUMMYFUNCTION("""COMPUTED_VALUE"""),"Sam's Club Catonsville")</f>
        <v>Sam's Club Catonsville</v>
      </c>
      <c r="D79" s="1" t="str">
        <f ca="1">IFERROR(__xludf.DUMMYFUNCTION("""COMPUTED_VALUE"""),"5702 Baltimore National Pike Catonsville, MD 21228")</f>
        <v>5702 Baltimore National Pike Catonsville, MD 21228</v>
      </c>
      <c r="E79" s="1" t="str">
        <f ca="1">IFERROR(__xludf.DUMMYFUNCTION("""COMPUTED_VALUE"""),"Yes")</f>
        <v>Yes</v>
      </c>
      <c r="F79" s="1" t="str">
        <f ca="1">IFERROR(__xludf.DUMMYFUNCTION("""COMPUTED_VALUE"""),"Pharmacy")</f>
        <v>Pharmacy</v>
      </c>
      <c r="G79" s="1"/>
      <c r="H79" s="1"/>
      <c r="I79" s="2" t="str">
        <f ca="1">IFERROR(__xludf.DUMMYFUNCTION("""COMPUTED_VALUE"""),"https://www.samsclub.com/pharmacy")</f>
        <v>https://www.samsclub.com/pharmacy</v>
      </c>
      <c r="J79" s="1"/>
      <c r="K79" s="1" t="str">
        <f ca="1">IFERROR(__xludf.DUMMYFUNCTION("""COMPUTED_VALUE"""),"410-744-3154")</f>
        <v>410-744-3154</v>
      </c>
      <c r="L79" s="1"/>
      <c r="M79" s="1" t="str">
        <f ca="1">IFERROR(__xludf.DUMMYFUNCTION("""COMPUTED_VALUE"""),"Schedule an appointment using the button below")</f>
        <v>Schedule an appointment using the button below</v>
      </c>
      <c r="N79" s="1"/>
      <c r="O79" s="1"/>
      <c r="P79" s="1" t="str">
        <f ca="1">IFERROR(__xludf.DUMMYFUNCTION("""COMPUTED_VALUE"""),"21228")</f>
        <v>21228</v>
      </c>
      <c r="Q79" s="1" t="str">
        <f ca="1">IFERROR(__xludf.DUMMYFUNCTION("""COMPUTED_VALUE"""),"No")</f>
        <v>No</v>
      </c>
      <c r="R79" s="1" t="str">
        <f ca="1">IFERROR(__xludf.DUMMYFUNCTION("""COMPUTED_VALUE"""),"Yes")</f>
        <v>Yes</v>
      </c>
      <c r="S79" s="1" t="str">
        <f ca="1">IFERROR(__xludf.DUMMYFUNCTION("""COMPUTED_VALUE"""),"Yes")</f>
        <v>Yes</v>
      </c>
      <c r="T79" s="1" t="str">
        <f ca="1">IFERROR(__xludf.DUMMYFUNCTION("""COMPUTED_VALUE"""),"Yes")</f>
        <v>Yes</v>
      </c>
    </row>
    <row r="80" spans="1:20" ht="13" x14ac:dyDescent="0.6">
      <c r="A80" s="1" t="str">
        <f ca="1">IFERROR(__xludf.DUMMYFUNCTION("""COMPUTED_VALUE"""),"Baltimore")</f>
        <v>Baltimore</v>
      </c>
      <c r="B80" s="1" t="str">
        <f ca="1">IFERROR(__xludf.DUMMYFUNCTION("""COMPUTED_VALUE"""),"Baltimore")</f>
        <v>Baltimore</v>
      </c>
      <c r="C80" s="1" t="str">
        <f ca="1">IFERROR(__xludf.DUMMYFUNCTION("""COMPUTED_VALUE"""),"Baltimore Highlands Pharmacy")</f>
        <v>Baltimore Highlands Pharmacy</v>
      </c>
      <c r="D80" s="1" t="str">
        <f ca="1">IFERROR(__xludf.DUMMYFUNCTION("""COMPUTED_VALUE"""),"4109 Annapolis Rd Baltimore, MD 21227")</f>
        <v>4109 Annapolis Rd Baltimore, MD 21227</v>
      </c>
      <c r="E80" s="1" t="str">
        <f ca="1">IFERROR(__xludf.DUMMYFUNCTION("""COMPUTED_VALUE"""),"Yes")</f>
        <v>Yes</v>
      </c>
      <c r="F80" s="1" t="str">
        <f ca="1">IFERROR(__xludf.DUMMYFUNCTION("""COMPUTED_VALUE"""),"Pharmacy")</f>
        <v>Pharmacy</v>
      </c>
      <c r="G80" s="2" t="str">
        <f ca="1">IFERROR(__xludf.DUMMYFUNCTION("""COMPUTED_VALUE"""),"https://www.baltimorehighlandspharmacy.com")</f>
        <v>https://www.baltimorehighlandspharmacy.com</v>
      </c>
      <c r="H80" s="1"/>
      <c r="I80" s="2" t="str">
        <f ca="1">IFERROR(__xludf.DUMMYFUNCTION("""COMPUTED_VALUE"""),"https://bookacovidvaccine.com/baltimore-highlands-pharmacy/")</f>
        <v>https://bookacovidvaccine.com/baltimore-highlands-pharmacy/</v>
      </c>
      <c r="J80" s="1"/>
      <c r="K80" s="1"/>
      <c r="L80" s="1"/>
      <c r="M80" s="1" t="str">
        <f ca="1">IFERROR(__xludf.DUMMYFUNCTION("""COMPUTED_VALUE"""),"Schedule an appointment using the button below")</f>
        <v>Schedule an appointment using the button below</v>
      </c>
      <c r="N80" s="1"/>
      <c r="O80" s="1"/>
      <c r="P80" s="1" t="str">
        <f ca="1">IFERROR(__xludf.DUMMYFUNCTION("""COMPUTED_VALUE"""),"21227")</f>
        <v>21227</v>
      </c>
      <c r="Q80" s="1" t="str">
        <f ca="1">IFERROR(__xludf.DUMMYFUNCTION("""COMPUTED_VALUE"""),"Yes")</f>
        <v>Yes</v>
      </c>
      <c r="R80" s="1" t="str">
        <f ca="1">IFERROR(__xludf.DUMMYFUNCTION("""COMPUTED_VALUE"""),"Yes")</f>
        <v>Yes</v>
      </c>
      <c r="S80" s="1" t="str">
        <f ca="1">IFERROR(__xludf.DUMMYFUNCTION("""COMPUTED_VALUE"""),"Yes")</f>
        <v>Yes</v>
      </c>
      <c r="T80" s="1" t="str">
        <f ca="1">IFERROR(__xludf.DUMMYFUNCTION("""COMPUTED_VALUE"""),"Yes")</f>
        <v>Yes</v>
      </c>
    </row>
    <row r="81" spans="1:20" ht="13" x14ac:dyDescent="0.6">
      <c r="A81" s="1" t="str">
        <f ca="1">IFERROR(__xludf.DUMMYFUNCTION("""COMPUTED_VALUE"""),"Baltimore")</f>
        <v>Baltimore</v>
      </c>
      <c r="B81" s="1" t="str">
        <f ca="1">IFERROR(__xludf.DUMMYFUNCTION("""COMPUTED_VALUE"""),"Rosedale")</f>
        <v>Rosedale</v>
      </c>
      <c r="C81" s="1" t="str">
        <f ca="1">IFERROR(__xludf.DUMMYFUNCTION("""COMPUTED_VALUE"""),"Professional Pharmacy")</f>
        <v>Professional Pharmacy</v>
      </c>
      <c r="D81" s="1" t="str">
        <f ca="1">IFERROR(__xludf.DUMMYFUNCTION("""COMPUTED_VALUE"""),"9106 Philadelphia Road, St 100 Rosedale, MD 21237")</f>
        <v>9106 Philadelphia Road, St 100 Rosedale, MD 21237</v>
      </c>
      <c r="E81" s="1" t="str">
        <f ca="1">IFERROR(__xludf.DUMMYFUNCTION("""COMPUTED_VALUE"""),"Yes")</f>
        <v>Yes</v>
      </c>
      <c r="F81" s="1" t="str">
        <f ca="1">IFERROR(__xludf.DUMMYFUNCTION("""COMPUTED_VALUE"""),"Pharmacy")</f>
        <v>Pharmacy</v>
      </c>
      <c r="G81" s="2" t="str">
        <f ca="1">IFERROR(__xludf.DUMMYFUNCTION("""COMPUTED_VALUE"""),"https://www.professionalpharmacyrosedale.com")</f>
        <v>https://www.professionalpharmacyrosedale.com</v>
      </c>
      <c r="H81" s="1"/>
      <c r="I81" s="1"/>
      <c r="J81" s="1"/>
      <c r="K81" s="1" t="str">
        <f ca="1">IFERROR(__xludf.DUMMYFUNCTION("""COMPUTED_VALUE"""),"410-687-8113")</f>
        <v>410-687-8113</v>
      </c>
      <c r="L81" s="1"/>
      <c r="M81" s="1" t="str">
        <f ca="1">IFERROR(__xludf.DUMMYFUNCTION("""COMPUTED_VALUE"""),"Contact the site to schedule an appointment")</f>
        <v>Contact the site to schedule an appointment</v>
      </c>
      <c r="N81" s="1"/>
      <c r="O81" s="1"/>
      <c r="P81" s="1" t="str">
        <f ca="1">IFERROR(__xludf.DUMMYFUNCTION("""COMPUTED_VALUE"""),"21237")</f>
        <v>21237</v>
      </c>
      <c r="Q81" s="1" t="str">
        <f ca="1">IFERROR(__xludf.DUMMYFUNCTION("""COMPUTED_VALUE"""),"Yes")</f>
        <v>Yes</v>
      </c>
      <c r="R81" s="1" t="str">
        <f ca="1">IFERROR(__xludf.DUMMYFUNCTION("""COMPUTED_VALUE"""),"Yes")</f>
        <v>Yes</v>
      </c>
      <c r="S81" s="1" t="str">
        <f ca="1">IFERROR(__xludf.DUMMYFUNCTION("""COMPUTED_VALUE"""),"Yes")</f>
        <v>Yes</v>
      </c>
      <c r="T81" s="1" t="str">
        <f ca="1">IFERROR(__xludf.DUMMYFUNCTION("""COMPUTED_VALUE"""),"Yes")</f>
        <v>Yes</v>
      </c>
    </row>
    <row r="82" spans="1:20" ht="13" x14ac:dyDescent="0.6">
      <c r="A82" s="1" t="str">
        <f ca="1">IFERROR(__xludf.DUMMYFUNCTION("""COMPUTED_VALUE"""),"Baltimore")</f>
        <v>Baltimore</v>
      </c>
      <c r="B82" s="1" t="str">
        <f ca="1">IFERROR(__xludf.DUMMYFUNCTION("""COMPUTED_VALUE"""),"Nottingham")</f>
        <v>Nottingham</v>
      </c>
      <c r="C82" s="1" t="str">
        <f ca="1">IFERROR(__xludf.DUMMYFUNCTION("""COMPUTED_VALUE"""),"CVS Nottingham")</f>
        <v>CVS Nottingham</v>
      </c>
      <c r="D82" s="1" t="str">
        <f ca="1">IFERROR(__xludf.DUMMYFUNCTION("""COMPUTED_VALUE"""),"5230 Campbell Blvd, Nottingham, MD 21236")</f>
        <v>5230 Campbell Blvd, Nottingham, MD 21236</v>
      </c>
      <c r="E82" s="1" t="str">
        <f ca="1">IFERROR(__xludf.DUMMYFUNCTION("""COMPUTED_VALUE"""),"Yes")</f>
        <v>Yes</v>
      </c>
      <c r="F82" s="1" t="str">
        <f ca="1">IFERROR(__xludf.DUMMYFUNCTION("""COMPUTED_VALUE"""),"Pharmacy")</f>
        <v>Pharmacy</v>
      </c>
      <c r="G82" s="1"/>
      <c r="H82" s="1"/>
      <c r="I82" s="2" t="str">
        <f ca="1">IFERROR(__xludf.DUMMYFUNCTION("""COMPUTED_VALUE"""),"https://www.cvs.com/immunizations/covid-19-vaccine")</f>
        <v>https://www.cvs.com/immunizations/covid-19-vaccine</v>
      </c>
      <c r="J82" s="1" t="str">
        <f ca="1">IFERROR(__xludf.DUMMYFUNCTION("""COMPUTED_VALUE"""),"Yes")</f>
        <v>Yes</v>
      </c>
      <c r="K82" s="1" t="str">
        <f ca="1">IFERROR(__xludf.DUMMYFUNCTION("""COMPUTED_VALUE"""),"800-746-7287")</f>
        <v>800-746-7287</v>
      </c>
      <c r="L82" s="1"/>
      <c r="M82" s="1" t="str">
        <f ca="1">IFERROR(__xludf.DUMMYFUNCTION("""COMPUTED_VALUE"""),"Schedule an appointment using the button below")</f>
        <v>Schedule an appointment using the button below</v>
      </c>
      <c r="N82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82" s="1" t="str">
        <f ca="1">IFERROR(__xludf.DUMMYFUNCTION("""COMPUTED_VALUE"""),"Yes")</f>
        <v>Yes</v>
      </c>
      <c r="P82" s="1" t="str">
        <f ca="1">IFERROR(__xludf.DUMMYFUNCTION("""COMPUTED_VALUE"""),"21236")</f>
        <v>21236</v>
      </c>
      <c r="Q82" s="1" t="str">
        <f ca="1">IFERROR(__xludf.DUMMYFUNCTION("""COMPUTED_VALUE"""),"Yes")</f>
        <v>Yes</v>
      </c>
      <c r="R82" s="1" t="str">
        <f ca="1">IFERROR(__xludf.DUMMYFUNCTION("""COMPUTED_VALUE"""),"No")</f>
        <v>No</v>
      </c>
      <c r="S82" s="1" t="str">
        <f ca="1">IFERROR(__xludf.DUMMYFUNCTION("""COMPUTED_VALUE"""),"No")</f>
        <v>No</v>
      </c>
      <c r="T82" s="1" t="str">
        <f ca="1">IFERROR(__xludf.DUMMYFUNCTION("""COMPUTED_VALUE"""),"Yes")</f>
        <v>Yes</v>
      </c>
    </row>
    <row r="83" spans="1:20" ht="13" x14ac:dyDescent="0.6">
      <c r="A83" s="1" t="str">
        <f ca="1">IFERROR(__xludf.DUMMYFUNCTION("""COMPUTED_VALUE"""),"Baltimore")</f>
        <v>Baltimore</v>
      </c>
      <c r="B83" s="1" t="str">
        <f ca="1">IFERROR(__xludf.DUMMYFUNCTION("""COMPUTED_VALUE"""),"Perry Hall")</f>
        <v>Perry Hall</v>
      </c>
      <c r="C83" s="1" t="str">
        <f ca="1">IFERROR(__xludf.DUMMYFUNCTION("""COMPUTED_VALUE"""),"CVS Perry Hall")</f>
        <v>CVS Perry Hall</v>
      </c>
      <c r="D83" s="1" t="str">
        <f ca="1">IFERROR(__xludf.DUMMYFUNCTION("""COMPUTED_VALUE"""),"9820 Belair Road, Perry Hall, MD 21128")</f>
        <v>9820 Belair Road, Perry Hall, MD 21128</v>
      </c>
      <c r="E83" s="1" t="str">
        <f ca="1">IFERROR(__xludf.DUMMYFUNCTION("""COMPUTED_VALUE"""),"Yes")</f>
        <v>Yes</v>
      </c>
      <c r="F83" s="1" t="str">
        <f ca="1">IFERROR(__xludf.DUMMYFUNCTION("""COMPUTED_VALUE"""),"Pharmacy")</f>
        <v>Pharmacy</v>
      </c>
      <c r="G83" s="1"/>
      <c r="H83" s="1"/>
      <c r="I83" s="2" t="str">
        <f ca="1">IFERROR(__xludf.DUMMYFUNCTION("""COMPUTED_VALUE"""),"https://www.cvs.com/immunizations/covid-19-vaccine")</f>
        <v>https://www.cvs.com/immunizations/covid-19-vaccine</v>
      </c>
      <c r="J83" s="1" t="str">
        <f ca="1">IFERROR(__xludf.DUMMYFUNCTION("""COMPUTED_VALUE"""),"Yes")</f>
        <v>Yes</v>
      </c>
      <c r="K83" s="1" t="str">
        <f ca="1">IFERROR(__xludf.DUMMYFUNCTION("""COMPUTED_VALUE"""),"800-746-7287")</f>
        <v>800-746-7287</v>
      </c>
      <c r="L83" s="1"/>
      <c r="M83" s="1" t="str">
        <f ca="1">IFERROR(__xludf.DUMMYFUNCTION("""COMPUTED_VALUE"""),"Schedule an appointment using the button below")</f>
        <v>Schedule an appointment using the button below</v>
      </c>
      <c r="N8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83" s="1" t="str">
        <f ca="1">IFERROR(__xludf.DUMMYFUNCTION("""COMPUTED_VALUE"""),"Yes")</f>
        <v>Yes</v>
      </c>
      <c r="P83" s="1" t="str">
        <f ca="1">IFERROR(__xludf.DUMMYFUNCTION("""COMPUTED_VALUE"""),"21128")</f>
        <v>21128</v>
      </c>
      <c r="Q83" s="1" t="str">
        <f ca="1">IFERROR(__xludf.DUMMYFUNCTION("""COMPUTED_VALUE"""),"Yes")</f>
        <v>Yes</v>
      </c>
      <c r="R83" s="1" t="str">
        <f ca="1">IFERROR(__xludf.DUMMYFUNCTION("""COMPUTED_VALUE"""),"No")</f>
        <v>No</v>
      </c>
      <c r="S83" s="1" t="str">
        <f ca="1">IFERROR(__xludf.DUMMYFUNCTION("""COMPUTED_VALUE"""),"No")</f>
        <v>No</v>
      </c>
      <c r="T83" s="1" t="str">
        <f ca="1">IFERROR(__xludf.DUMMYFUNCTION("""COMPUTED_VALUE"""),"Yes")</f>
        <v>Yes</v>
      </c>
    </row>
    <row r="84" spans="1:20" ht="13" x14ac:dyDescent="0.6">
      <c r="A84" s="1" t="str">
        <f ca="1">IFERROR(__xludf.DUMMYFUNCTION("""COMPUTED_VALUE"""),"Baltimore")</f>
        <v>Baltimore</v>
      </c>
      <c r="B84" s="1" t="str">
        <f ca="1">IFERROR(__xludf.DUMMYFUNCTION("""COMPUTED_VALUE"""),"Baltimore")</f>
        <v>Baltimore</v>
      </c>
      <c r="C84" s="1" t="str">
        <f ca="1">IFERROR(__xludf.DUMMYFUNCTION("""COMPUTED_VALUE"""),"CVS Baltimore")</f>
        <v>CVS Baltimore</v>
      </c>
      <c r="D84" s="1" t="str">
        <f ca="1">IFERROR(__xludf.DUMMYFUNCTION("""COMPUTED_VALUE"""),"2911 East Joppa Road, Baltimore, MD 21234")</f>
        <v>2911 East Joppa Road, Baltimore, MD 21234</v>
      </c>
      <c r="E84" s="1" t="str">
        <f ca="1">IFERROR(__xludf.DUMMYFUNCTION("""COMPUTED_VALUE"""),"Yes")</f>
        <v>Yes</v>
      </c>
      <c r="F84" s="1" t="str">
        <f ca="1">IFERROR(__xludf.DUMMYFUNCTION("""COMPUTED_VALUE"""),"Pharmacy")</f>
        <v>Pharmacy</v>
      </c>
      <c r="G84" s="1"/>
      <c r="H84" s="1"/>
      <c r="I84" s="2" t="str">
        <f ca="1">IFERROR(__xludf.DUMMYFUNCTION("""COMPUTED_VALUE"""),"https://www.cvs.com/immunizations/covid-19-vaccine")</f>
        <v>https://www.cvs.com/immunizations/covid-19-vaccine</v>
      </c>
      <c r="J84" s="1" t="str">
        <f ca="1">IFERROR(__xludf.DUMMYFUNCTION("""COMPUTED_VALUE"""),"Yes")</f>
        <v>Yes</v>
      </c>
      <c r="K84" s="1" t="str">
        <f ca="1">IFERROR(__xludf.DUMMYFUNCTION("""COMPUTED_VALUE"""),"800-746-7287")</f>
        <v>800-746-7287</v>
      </c>
      <c r="L84" s="1"/>
      <c r="M84" s="1" t="str">
        <f ca="1">IFERROR(__xludf.DUMMYFUNCTION("""COMPUTED_VALUE"""),"Schedule an appointment using the button below")</f>
        <v>Schedule an appointment using the button below</v>
      </c>
      <c r="N84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84" s="1" t="str">
        <f ca="1">IFERROR(__xludf.DUMMYFUNCTION("""COMPUTED_VALUE"""),"Yes")</f>
        <v>Yes</v>
      </c>
      <c r="P84" s="1" t="str">
        <f ca="1">IFERROR(__xludf.DUMMYFUNCTION("""COMPUTED_VALUE"""),"21234")</f>
        <v>21234</v>
      </c>
      <c r="Q84" s="1" t="str">
        <f ca="1">IFERROR(__xludf.DUMMYFUNCTION("""COMPUTED_VALUE"""),"Yes")</f>
        <v>Yes</v>
      </c>
      <c r="R84" s="1" t="str">
        <f ca="1">IFERROR(__xludf.DUMMYFUNCTION("""COMPUTED_VALUE"""),"No")</f>
        <v>No</v>
      </c>
      <c r="S84" s="1" t="str">
        <f ca="1">IFERROR(__xludf.DUMMYFUNCTION("""COMPUTED_VALUE"""),"No")</f>
        <v>No</v>
      </c>
      <c r="T84" s="1" t="str">
        <f ca="1">IFERROR(__xludf.DUMMYFUNCTION("""COMPUTED_VALUE"""),"Yes")</f>
        <v>Yes</v>
      </c>
    </row>
    <row r="85" spans="1:20" ht="13" x14ac:dyDescent="0.6">
      <c r="A85" s="1" t="str">
        <f ca="1">IFERROR(__xludf.DUMMYFUNCTION("""COMPUTED_VALUE"""),"Baltimore")</f>
        <v>Baltimore</v>
      </c>
      <c r="B85" s="1" t="str">
        <f ca="1">IFERROR(__xludf.DUMMYFUNCTION("""COMPUTED_VALUE"""),"Essex")</f>
        <v>Essex</v>
      </c>
      <c r="C85" s="1" t="str">
        <f ca="1">IFERROR(__xludf.DUMMYFUNCTION("""COMPUTED_VALUE"""),"CVS Essex")</f>
        <v>CVS Essex</v>
      </c>
      <c r="D85" s="1" t="str">
        <f ca="1">IFERROR(__xludf.DUMMYFUNCTION("""COMPUTED_VALUE"""),"500 Eastern Avenue, Essex, MD 21221")</f>
        <v>500 Eastern Avenue, Essex, MD 21221</v>
      </c>
      <c r="E85" s="1" t="str">
        <f ca="1">IFERROR(__xludf.DUMMYFUNCTION("""COMPUTED_VALUE"""),"Yes")</f>
        <v>Yes</v>
      </c>
      <c r="F85" s="1" t="str">
        <f ca="1">IFERROR(__xludf.DUMMYFUNCTION("""COMPUTED_VALUE"""),"Pharmacy")</f>
        <v>Pharmacy</v>
      </c>
      <c r="G85" s="1"/>
      <c r="H85" s="1"/>
      <c r="I85" s="2" t="str">
        <f ca="1">IFERROR(__xludf.DUMMYFUNCTION("""COMPUTED_VALUE"""),"https://www.cvs.com/immunizations/covid-19-vaccine")</f>
        <v>https://www.cvs.com/immunizations/covid-19-vaccine</v>
      </c>
      <c r="J85" s="1" t="str">
        <f ca="1">IFERROR(__xludf.DUMMYFUNCTION("""COMPUTED_VALUE"""),"Yes")</f>
        <v>Yes</v>
      </c>
      <c r="K85" s="1" t="str">
        <f ca="1">IFERROR(__xludf.DUMMYFUNCTION("""COMPUTED_VALUE"""),"800-746-7287")</f>
        <v>800-746-7287</v>
      </c>
      <c r="L85" s="1"/>
      <c r="M85" s="1" t="str">
        <f ca="1">IFERROR(__xludf.DUMMYFUNCTION("""COMPUTED_VALUE"""),"Schedule an appointment using the button below")</f>
        <v>Schedule an appointment using the button below</v>
      </c>
      <c r="N85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85" s="1" t="str">
        <f ca="1">IFERROR(__xludf.DUMMYFUNCTION("""COMPUTED_VALUE"""),"Yes")</f>
        <v>Yes</v>
      </c>
      <c r="P85" s="1" t="str">
        <f ca="1">IFERROR(__xludf.DUMMYFUNCTION("""COMPUTED_VALUE"""),"21221")</f>
        <v>21221</v>
      </c>
      <c r="Q85" s="1" t="str">
        <f ca="1">IFERROR(__xludf.DUMMYFUNCTION("""COMPUTED_VALUE"""),"Yes")</f>
        <v>Yes</v>
      </c>
      <c r="R85" s="1" t="str">
        <f ca="1">IFERROR(__xludf.DUMMYFUNCTION("""COMPUTED_VALUE"""),"No")</f>
        <v>No</v>
      </c>
      <c r="S85" s="1" t="str">
        <f ca="1">IFERROR(__xludf.DUMMYFUNCTION("""COMPUTED_VALUE"""),"No")</f>
        <v>No</v>
      </c>
      <c r="T85" s="1" t="str">
        <f ca="1">IFERROR(__xludf.DUMMYFUNCTION("""COMPUTED_VALUE"""),"Yes")</f>
        <v>Yes</v>
      </c>
    </row>
    <row r="86" spans="1:20" ht="13" x14ac:dyDescent="0.6">
      <c r="A86" s="1" t="str">
        <f ca="1">IFERROR(__xludf.DUMMYFUNCTION("""COMPUTED_VALUE"""),"Baltimore")</f>
        <v>Baltimore</v>
      </c>
      <c r="B86" s="1" t="str">
        <f ca="1">IFERROR(__xludf.DUMMYFUNCTION("""COMPUTED_VALUE"""),"Middle River")</f>
        <v>Middle River</v>
      </c>
      <c r="C86" s="1" t="str">
        <f ca="1">IFERROR(__xludf.DUMMYFUNCTION("""COMPUTED_VALUE"""),"CVS Middle River")</f>
        <v>CVS Middle River</v>
      </c>
      <c r="D86" s="1" t="str">
        <f ca="1">IFERROR(__xludf.DUMMYFUNCTION("""COMPUTED_VALUE"""),"1330 Martin Blvd., Middle River, MD 21220")</f>
        <v>1330 Martin Blvd., Middle River, MD 21220</v>
      </c>
      <c r="E86" s="1" t="str">
        <f ca="1">IFERROR(__xludf.DUMMYFUNCTION("""COMPUTED_VALUE"""),"Yes")</f>
        <v>Yes</v>
      </c>
      <c r="F86" s="1" t="str">
        <f ca="1">IFERROR(__xludf.DUMMYFUNCTION("""COMPUTED_VALUE"""),"Pharmacy")</f>
        <v>Pharmacy</v>
      </c>
      <c r="G86" s="1"/>
      <c r="H86" s="1"/>
      <c r="I86" s="2" t="str">
        <f ca="1">IFERROR(__xludf.DUMMYFUNCTION("""COMPUTED_VALUE"""),"https://www.cvs.com/immunizations/covid-19-vaccine")</f>
        <v>https://www.cvs.com/immunizations/covid-19-vaccine</v>
      </c>
      <c r="J86" s="1" t="str">
        <f ca="1">IFERROR(__xludf.DUMMYFUNCTION("""COMPUTED_VALUE"""),"Yes")</f>
        <v>Yes</v>
      </c>
      <c r="K86" s="1" t="str">
        <f ca="1">IFERROR(__xludf.DUMMYFUNCTION("""COMPUTED_VALUE"""),"800-746-7287")</f>
        <v>800-746-7287</v>
      </c>
      <c r="L86" s="1"/>
      <c r="M86" s="1" t="str">
        <f ca="1">IFERROR(__xludf.DUMMYFUNCTION("""COMPUTED_VALUE"""),"Schedule an appointment using the button below")</f>
        <v>Schedule an appointment using the button below</v>
      </c>
      <c r="N86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86" s="1" t="str">
        <f ca="1">IFERROR(__xludf.DUMMYFUNCTION("""COMPUTED_VALUE"""),"Yes")</f>
        <v>Yes</v>
      </c>
      <c r="P86" s="1" t="str">
        <f ca="1">IFERROR(__xludf.DUMMYFUNCTION("""COMPUTED_VALUE"""),"21220")</f>
        <v>21220</v>
      </c>
      <c r="Q86" s="1" t="str">
        <f ca="1">IFERROR(__xludf.DUMMYFUNCTION("""COMPUTED_VALUE"""),"Yes")</f>
        <v>Yes</v>
      </c>
      <c r="R86" s="1" t="str">
        <f ca="1">IFERROR(__xludf.DUMMYFUNCTION("""COMPUTED_VALUE"""),"No")</f>
        <v>No</v>
      </c>
      <c r="S86" s="1" t="str">
        <f ca="1">IFERROR(__xludf.DUMMYFUNCTION("""COMPUTED_VALUE"""),"No")</f>
        <v>No</v>
      </c>
      <c r="T86" s="1" t="str">
        <f ca="1">IFERROR(__xludf.DUMMYFUNCTION("""COMPUTED_VALUE"""),"Yes")</f>
        <v>Yes</v>
      </c>
    </row>
    <row r="87" spans="1:20" ht="13" x14ac:dyDescent="0.6">
      <c r="A87" s="1" t="str">
        <f ca="1">IFERROR(__xludf.DUMMYFUNCTION("""COMPUTED_VALUE"""),"Baltimore")</f>
        <v>Baltimore</v>
      </c>
      <c r="B87" s="1" t="str">
        <f ca="1">IFERROR(__xludf.DUMMYFUNCTION("""COMPUTED_VALUE"""),"Towson")</f>
        <v>Towson</v>
      </c>
      <c r="C87" s="1" t="str">
        <f ca="1">IFERROR(__xludf.DUMMYFUNCTION("""COMPUTED_VALUE"""),"CVS Towson")</f>
        <v>CVS Towson</v>
      </c>
      <c r="D87" s="1" t="str">
        <f ca="1">IFERROR(__xludf.DUMMYFUNCTION("""COMPUTED_VALUE"""),"1238 Putty Hill Ave., Towson, MD 21286")</f>
        <v>1238 Putty Hill Ave., Towson, MD 21286</v>
      </c>
      <c r="E87" s="1" t="str">
        <f ca="1">IFERROR(__xludf.DUMMYFUNCTION("""COMPUTED_VALUE"""),"Yes")</f>
        <v>Yes</v>
      </c>
      <c r="F87" s="1" t="str">
        <f ca="1">IFERROR(__xludf.DUMMYFUNCTION("""COMPUTED_VALUE"""),"Pharmacy")</f>
        <v>Pharmacy</v>
      </c>
      <c r="G87" s="1"/>
      <c r="H87" s="1"/>
      <c r="I87" s="2" t="str">
        <f ca="1">IFERROR(__xludf.DUMMYFUNCTION("""COMPUTED_VALUE"""),"https://www.cvs.com/immunizations/covid-19-vaccine")</f>
        <v>https://www.cvs.com/immunizations/covid-19-vaccine</v>
      </c>
      <c r="J87" s="1" t="str">
        <f ca="1">IFERROR(__xludf.DUMMYFUNCTION("""COMPUTED_VALUE"""),"Yes")</f>
        <v>Yes</v>
      </c>
      <c r="K87" s="1" t="str">
        <f ca="1">IFERROR(__xludf.DUMMYFUNCTION("""COMPUTED_VALUE"""),"800-746-7287")</f>
        <v>800-746-7287</v>
      </c>
      <c r="L87" s="1"/>
      <c r="M87" s="1" t="str">
        <f ca="1">IFERROR(__xludf.DUMMYFUNCTION("""COMPUTED_VALUE"""),"Schedule an appointment using the button below")</f>
        <v>Schedule an appointment using the button below</v>
      </c>
      <c r="N87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87" s="1" t="str">
        <f ca="1">IFERROR(__xludf.DUMMYFUNCTION("""COMPUTED_VALUE"""),"Yes")</f>
        <v>Yes</v>
      </c>
      <c r="P87" s="1" t="str">
        <f ca="1">IFERROR(__xludf.DUMMYFUNCTION("""COMPUTED_VALUE"""),"21286")</f>
        <v>21286</v>
      </c>
      <c r="Q87" s="1" t="str">
        <f ca="1">IFERROR(__xludf.DUMMYFUNCTION("""COMPUTED_VALUE"""),"Yes")</f>
        <v>Yes</v>
      </c>
      <c r="R87" s="1" t="str">
        <f ca="1">IFERROR(__xludf.DUMMYFUNCTION("""COMPUTED_VALUE"""),"No")</f>
        <v>No</v>
      </c>
      <c r="S87" s="1" t="str">
        <f ca="1">IFERROR(__xludf.DUMMYFUNCTION("""COMPUTED_VALUE"""),"No")</f>
        <v>No</v>
      </c>
      <c r="T87" s="1" t="str">
        <f ca="1">IFERROR(__xludf.DUMMYFUNCTION("""COMPUTED_VALUE"""),"Yes")</f>
        <v>Yes</v>
      </c>
    </row>
    <row r="88" spans="1:20" ht="13" x14ac:dyDescent="0.6">
      <c r="A88" s="1" t="str">
        <f ca="1">IFERROR(__xludf.DUMMYFUNCTION("""COMPUTED_VALUE"""),"Baltimore")</f>
        <v>Baltimore</v>
      </c>
      <c r="B88" s="1" t="str">
        <f ca="1">IFERROR(__xludf.DUMMYFUNCTION("""COMPUTED_VALUE"""),"Catonsville")</f>
        <v>Catonsville</v>
      </c>
      <c r="C88" s="1" t="str">
        <f ca="1">IFERROR(__xludf.DUMMYFUNCTION("""COMPUTED_VALUE"""),"AME Pharmacy")</f>
        <v>AME Pharmacy</v>
      </c>
      <c r="D88" s="1" t="str">
        <f ca="1">IFERROR(__xludf.DUMMYFUNCTION("""COMPUTED_VALUE"""),"731 Frederick Road, Catonsville, MD 21228")</f>
        <v>731 Frederick Road, Catonsville, MD 21228</v>
      </c>
      <c r="E88" s="1" t="str">
        <f ca="1">IFERROR(__xludf.DUMMYFUNCTION("""COMPUTED_VALUE"""),"Yes")</f>
        <v>Yes</v>
      </c>
      <c r="F88" s="1" t="str">
        <f ca="1">IFERROR(__xludf.DUMMYFUNCTION("""COMPUTED_VALUE"""),"Pharmacy")</f>
        <v>Pharmacy</v>
      </c>
      <c r="G88" s="1"/>
      <c r="H88" s="1"/>
      <c r="I88" s="2" t="str">
        <f ca="1">IFERROR(__xludf.DUMMYFUNCTION("""COMPUTED_VALUE"""),"https://www.mycovidshots.com/#!/form/amepharmacy")</f>
        <v>https://www.mycovidshots.com/#!/form/amepharmacy</v>
      </c>
      <c r="J88" s="1" t="str">
        <f ca="1">IFERROR(__xludf.DUMMYFUNCTION("""COMPUTED_VALUE"""),"Yes")</f>
        <v>Yes</v>
      </c>
      <c r="K88" s="1"/>
      <c r="L88" s="1"/>
      <c r="M88" s="1" t="str">
        <f ca="1">IFERROR(__xludf.DUMMYFUNCTION("""COMPUTED_VALUE"""),"Schedule an appointment using the button below")</f>
        <v>Schedule an appointment using the button below</v>
      </c>
      <c r="N88" s="1"/>
      <c r="O88" s="1"/>
      <c r="P88" s="1" t="str">
        <f ca="1">IFERROR(__xludf.DUMMYFUNCTION("""COMPUTED_VALUE"""),"21228")</f>
        <v>21228</v>
      </c>
      <c r="Q88" s="1" t="str">
        <f ca="1">IFERROR(__xludf.DUMMYFUNCTION("""COMPUTED_VALUE"""),"Yes")</f>
        <v>Yes</v>
      </c>
      <c r="R88" s="1" t="str">
        <f ca="1">IFERROR(__xludf.DUMMYFUNCTION("""COMPUTED_VALUE"""),"Yes")</f>
        <v>Yes</v>
      </c>
      <c r="S88" s="1" t="str">
        <f ca="1">IFERROR(__xludf.DUMMYFUNCTION("""COMPUTED_VALUE"""),"No")</f>
        <v>No</v>
      </c>
      <c r="T88" s="1" t="str">
        <f ca="1">IFERROR(__xludf.DUMMYFUNCTION("""COMPUTED_VALUE"""),"Yes")</f>
        <v>Yes</v>
      </c>
    </row>
    <row r="89" spans="1:20" ht="13" x14ac:dyDescent="0.6">
      <c r="A89" s="1" t="str">
        <f ca="1">IFERROR(__xludf.DUMMYFUNCTION("""COMPUTED_VALUE"""),"Baltimore")</f>
        <v>Baltimore</v>
      </c>
      <c r="B89" s="1" t="str">
        <f ca="1">IFERROR(__xludf.DUMMYFUNCTION("""COMPUTED_VALUE"""),"Baltimore")</f>
        <v>Baltimore</v>
      </c>
      <c r="C89" s="1" t="str">
        <f ca="1">IFERROR(__xludf.DUMMYFUNCTION("""COMPUTED_VALUE"""),"Professional Pharmacy")</f>
        <v>Professional Pharmacy</v>
      </c>
      <c r="D89" s="1" t="str">
        <f ca="1">IFERROR(__xludf.DUMMYFUNCTION("""COMPUTED_VALUE"""),"9106 Philadelphia Road Suite 100, Baltimore, MD 21237")</f>
        <v>9106 Philadelphia Road Suite 100, Baltimore, MD 21237</v>
      </c>
      <c r="E89" s="1" t="str">
        <f ca="1">IFERROR(__xludf.DUMMYFUNCTION("""COMPUTED_VALUE"""),"Yes")</f>
        <v>Yes</v>
      </c>
      <c r="F89" s="1" t="str">
        <f ca="1">IFERROR(__xludf.DUMMYFUNCTION("""COMPUTED_VALUE"""),"Pharmacy")</f>
        <v>Pharmacy</v>
      </c>
      <c r="G89" s="1"/>
      <c r="H89" s="1"/>
      <c r="I89" s="2" t="str">
        <f ca="1">IFERROR(__xludf.DUMMYFUNCTION("""COMPUTED_VALUE"""),"https://www.propharmacyrx.net/covid-19-vaccines")</f>
        <v>https://www.propharmacyrx.net/covid-19-vaccines</v>
      </c>
      <c r="J89" s="1" t="str">
        <f ca="1">IFERROR(__xludf.DUMMYFUNCTION("""COMPUTED_VALUE"""),"Yes")</f>
        <v>Yes</v>
      </c>
      <c r="K89" s="1"/>
      <c r="L89" s="1"/>
      <c r="M89" s="1" t="str">
        <f ca="1">IFERROR(__xludf.DUMMYFUNCTION("""COMPUTED_VALUE"""),"Schedule an appointment using the button below")</f>
        <v>Schedule an appointment using the button below</v>
      </c>
      <c r="N89" s="1"/>
      <c r="O89" s="1"/>
      <c r="P89" s="1" t="str">
        <f ca="1">IFERROR(__xludf.DUMMYFUNCTION("""COMPUTED_VALUE"""),"21237")</f>
        <v>21237</v>
      </c>
      <c r="Q89" s="1" t="str">
        <f ca="1">IFERROR(__xludf.DUMMYFUNCTION("""COMPUTED_VALUE"""),"Yes")</f>
        <v>Yes</v>
      </c>
      <c r="R89" s="1" t="str">
        <f ca="1">IFERROR(__xludf.DUMMYFUNCTION("""COMPUTED_VALUE"""),"Yes")</f>
        <v>Yes</v>
      </c>
      <c r="S89" s="1" t="str">
        <f ca="1">IFERROR(__xludf.DUMMYFUNCTION("""COMPUTED_VALUE"""),"Yes")</f>
        <v>Yes</v>
      </c>
      <c r="T89" s="1" t="str">
        <f ca="1">IFERROR(__xludf.DUMMYFUNCTION("""COMPUTED_VALUE"""),"Yes")</f>
        <v>Yes</v>
      </c>
    </row>
    <row r="90" spans="1:20" ht="13" x14ac:dyDescent="0.6">
      <c r="A90" s="1" t="str">
        <f ca="1">IFERROR(__xludf.DUMMYFUNCTION("""COMPUTED_VALUE"""),"Baltimore")</f>
        <v>Baltimore</v>
      </c>
      <c r="B90" s="1" t="str">
        <f ca="1">IFERROR(__xludf.DUMMYFUNCTION("""COMPUTED_VALUE"""),"Dundalk")</f>
        <v>Dundalk</v>
      </c>
      <c r="C90" s="1" t="str">
        <f ca="1">IFERROR(__xludf.DUMMYFUNCTION("""COMPUTED_VALUE"""),"Weis Pharmacy Dundalk")</f>
        <v>Weis Pharmacy Dundalk</v>
      </c>
      <c r="D90" s="1" t="str">
        <f ca="1">IFERROR(__xludf.DUMMYFUNCTION("""COMPUTED_VALUE"""),"7200 Holabird Avenue Dundalk, MD 21222")</f>
        <v>7200 Holabird Avenue Dundalk, MD 21222</v>
      </c>
      <c r="E90" s="1" t="str">
        <f ca="1">IFERROR(__xludf.DUMMYFUNCTION("""COMPUTED_VALUE"""),"Yes")</f>
        <v>Yes</v>
      </c>
      <c r="F90" s="1" t="str">
        <f ca="1">IFERROR(__xludf.DUMMYFUNCTION("""COMPUTED_VALUE"""),"Pharmacy")</f>
        <v>Pharmacy</v>
      </c>
      <c r="G90" s="1"/>
      <c r="H90" s="1"/>
      <c r="I90" s="2" t="str">
        <f ca="1">IFERROR(__xludf.DUMMYFUNCTION("""COMPUTED_VALUE"""),"https://www.weismarkets.com/pharmacy-services")</f>
        <v>https://www.weismarkets.com/pharmacy-services</v>
      </c>
      <c r="J90" s="1"/>
      <c r="K90" s="1"/>
      <c r="L90" s="1"/>
      <c r="M90" s="1" t="str">
        <f ca="1">IFERROR(__xludf.DUMMYFUNCTION("""COMPUTED_VALUE"""),"Schedule an appointment using the button below")</f>
        <v>Schedule an appointment using the button below</v>
      </c>
      <c r="N90" s="1"/>
      <c r="O90" s="1" t="str">
        <f ca="1">IFERROR(__xludf.DUMMYFUNCTION("""COMPUTED_VALUE"""),"Yes")</f>
        <v>Yes</v>
      </c>
      <c r="P90" s="1" t="str">
        <f ca="1">IFERROR(__xludf.DUMMYFUNCTION("""COMPUTED_VALUE"""),"21222")</f>
        <v>21222</v>
      </c>
      <c r="Q90" s="1" t="str">
        <f ca="1">IFERROR(__xludf.DUMMYFUNCTION("""COMPUTED_VALUE"""),"Yes")</f>
        <v>Yes</v>
      </c>
      <c r="R90" s="1" t="str">
        <f ca="1">IFERROR(__xludf.DUMMYFUNCTION("""COMPUTED_VALUE"""),"Yes")</f>
        <v>Yes</v>
      </c>
      <c r="S90" s="1" t="str">
        <f ca="1">IFERROR(__xludf.DUMMYFUNCTION("""COMPUTED_VALUE"""),"Yes")</f>
        <v>Yes</v>
      </c>
      <c r="T90" s="1" t="str">
        <f ca="1">IFERROR(__xludf.DUMMYFUNCTION("""COMPUTED_VALUE"""),"Yes")</f>
        <v>Yes</v>
      </c>
    </row>
    <row r="91" spans="1:20" ht="13" x14ac:dyDescent="0.6">
      <c r="A91" s="1" t="str">
        <f ca="1">IFERROR(__xludf.DUMMYFUNCTION("""COMPUTED_VALUE"""),"Baltimore")</f>
        <v>Baltimore</v>
      </c>
      <c r="B91" s="1" t="str">
        <f ca="1">IFERROR(__xludf.DUMMYFUNCTION("""COMPUTED_VALUE"""),"Perry Hall")</f>
        <v>Perry Hall</v>
      </c>
      <c r="C91" s="1" t="str">
        <f ca="1">IFERROR(__xludf.DUMMYFUNCTION("""COMPUTED_VALUE"""),"Weis Pharmacy Perry Hall")</f>
        <v>Weis Pharmacy Perry Hall</v>
      </c>
      <c r="D91" s="1" t="str">
        <f ca="1">IFERROR(__xludf.DUMMYFUNCTION("""COMPUTED_VALUE"""),"9400 Scott Moore Way Perry Hall, MD 21128 ")</f>
        <v xml:space="preserve">9400 Scott Moore Way Perry Hall, MD 21128 </v>
      </c>
      <c r="E91" s="1" t="str">
        <f ca="1">IFERROR(__xludf.DUMMYFUNCTION("""COMPUTED_VALUE"""),"Yes")</f>
        <v>Yes</v>
      </c>
      <c r="F91" s="1" t="str">
        <f ca="1">IFERROR(__xludf.DUMMYFUNCTION("""COMPUTED_VALUE"""),"Pharmacy")</f>
        <v>Pharmacy</v>
      </c>
      <c r="G91" s="1"/>
      <c r="H91" s="1"/>
      <c r="I91" s="2" t="str">
        <f ca="1">IFERROR(__xludf.DUMMYFUNCTION("""COMPUTED_VALUE"""),"https://www.weismarkets.com/pharmacy-services")</f>
        <v>https://www.weismarkets.com/pharmacy-services</v>
      </c>
      <c r="J91" s="1"/>
      <c r="K91" s="1"/>
      <c r="L91" s="1"/>
      <c r="M91" s="1" t="str">
        <f ca="1">IFERROR(__xludf.DUMMYFUNCTION("""COMPUTED_VALUE"""),"Schedule an appointment using the button below")</f>
        <v>Schedule an appointment using the button below</v>
      </c>
      <c r="N91" s="1"/>
      <c r="O91" s="1" t="str">
        <f ca="1">IFERROR(__xludf.DUMMYFUNCTION("""COMPUTED_VALUE"""),"Yes")</f>
        <v>Yes</v>
      </c>
      <c r="P91" s="1" t="str">
        <f ca="1">IFERROR(__xludf.DUMMYFUNCTION("""COMPUTED_VALUE"""),"1128 ")</f>
        <v xml:space="preserve">1128 </v>
      </c>
      <c r="Q91" s="1" t="str">
        <f ca="1">IFERROR(__xludf.DUMMYFUNCTION("""COMPUTED_VALUE"""),"Yes")</f>
        <v>Yes</v>
      </c>
      <c r="R91" s="1" t="str">
        <f ca="1">IFERROR(__xludf.DUMMYFUNCTION("""COMPUTED_VALUE"""),"Yes")</f>
        <v>Yes</v>
      </c>
      <c r="S91" s="1" t="str">
        <f ca="1">IFERROR(__xludf.DUMMYFUNCTION("""COMPUTED_VALUE"""),"Yes")</f>
        <v>Yes</v>
      </c>
      <c r="T91" s="1" t="str">
        <f ca="1">IFERROR(__xludf.DUMMYFUNCTION("""COMPUTED_VALUE"""),"Yes")</f>
        <v>Yes</v>
      </c>
    </row>
    <row r="92" spans="1:20" ht="13" x14ac:dyDescent="0.6">
      <c r="A92" s="1" t="str">
        <f ca="1">IFERROR(__xludf.DUMMYFUNCTION("""COMPUTED_VALUE"""),"Baltimore City")</f>
        <v>Baltimore City</v>
      </c>
      <c r="B92" s="1" t="str">
        <f ca="1">IFERROR(__xludf.DUMMYFUNCTION("""COMPUTED_VALUE"""),"Baltimore")</f>
        <v>Baltimore</v>
      </c>
      <c r="C92" s="1" t="str">
        <f ca="1">IFERROR(__xludf.DUMMYFUNCTION("""COMPUTED_VALUE"""),"Rite Aid Baltimore (Park Heights Ave)")</f>
        <v>Rite Aid Baltimore (Park Heights Ave)</v>
      </c>
      <c r="D92" s="1" t="str">
        <f ca="1">IFERROR(__xludf.DUMMYFUNCTION("""COMPUTED_VALUE"""),"4380 Park Heights Ave, Baltimore, MD 21215")</f>
        <v>4380 Park Heights Ave, Baltimore, MD 21215</v>
      </c>
      <c r="E92" s="1" t="str">
        <f ca="1">IFERROR(__xludf.DUMMYFUNCTION("""COMPUTED_VALUE"""),"Yes")</f>
        <v>Yes</v>
      </c>
      <c r="F92" s="1" t="str">
        <f ca="1">IFERROR(__xludf.DUMMYFUNCTION("""COMPUTED_VALUE"""),"Pharmacy")</f>
        <v>Pharmacy</v>
      </c>
      <c r="G92" s="1"/>
      <c r="H92" s="1"/>
      <c r="I92" s="2" t="str">
        <f ca="1">IFERROR(__xludf.DUMMYFUNCTION("""COMPUTED_VALUE"""),"https://www.riteaid.com/pharmacy/covid-qualifier")</f>
        <v>https://www.riteaid.com/pharmacy/covid-qualifier</v>
      </c>
      <c r="J92" s="1"/>
      <c r="K92" s="1"/>
      <c r="L92" s="1"/>
      <c r="M92" s="1" t="str">
        <f ca="1">IFERROR(__xludf.DUMMYFUNCTION("""COMPUTED_VALUE"""),"Schedule an appointment using the button below")</f>
        <v>Schedule an appointment using the button below</v>
      </c>
      <c r="N92" s="1"/>
      <c r="O92" s="1"/>
      <c r="P92" s="1" t="str">
        <f ca="1">IFERROR(__xludf.DUMMYFUNCTION("""COMPUTED_VALUE"""),"21215")</f>
        <v>21215</v>
      </c>
      <c r="Q92" s="1" t="str">
        <f ca="1">IFERROR(__xludf.DUMMYFUNCTION("""COMPUTED_VALUE"""),"Yes")</f>
        <v>Yes</v>
      </c>
      <c r="R92" s="1" t="str">
        <f ca="1">IFERROR(__xludf.DUMMYFUNCTION("""COMPUTED_VALUE"""),"Yes")</f>
        <v>Yes</v>
      </c>
      <c r="S92" s="1" t="str">
        <f ca="1">IFERROR(__xludf.DUMMYFUNCTION("""COMPUTED_VALUE"""),"No")</f>
        <v>No</v>
      </c>
      <c r="T92" s="1" t="str">
        <f ca="1">IFERROR(__xludf.DUMMYFUNCTION("""COMPUTED_VALUE"""),"Yes")</f>
        <v>Yes</v>
      </c>
    </row>
    <row r="93" spans="1:20" ht="13" x14ac:dyDescent="0.6">
      <c r="A93" s="1" t="str">
        <f ca="1">IFERROR(__xludf.DUMMYFUNCTION("""COMPUTED_VALUE"""),"Baltimore City")</f>
        <v>Baltimore City</v>
      </c>
      <c r="B93" s="1" t="str">
        <f ca="1">IFERROR(__xludf.DUMMYFUNCTION("""COMPUTED_VALUE"""),"Baltimore")</f>
        <v>Baltimore</v>
      </c>
      <c r="C93" s="1" t="str">
        <f ca="1">IFERROR(__xludf.DUMMYFUNCTION("""COMPUTED_VALUE"""),"Walgreens Baltimore")</f>
        <v>Walgreens Baltimore</v>
      </c>
      <c r="D93" s="1" t="str">
        <f ca="1">IFERROR(__xludf.DUMMYFUNCTION("""COMPUTED_VALUE"""),"6301 York Rd Baltimore MD 21212")</f>
        <v>6301 York Rd Baltimore MD 21212</v>
      </c>
      <c r="E93" s="1" t="str">
        <f ca="1">IFERROR(__xludf.DUMMYFUNCTION("""COMPUTED_VALUE"""),"Yes")</f>
        <v>Yes</v>
      </c>
      <c r="F93" s="1" t="str">
        <f ca="1">IFERROR(__xludf.DUMMYFUNCTION("""COMPUTED_VALUE"""),"Pharmacy")</f>
        <v>Pharmacy</v>
      </c>
      <c r="G93" s="1"/>
      <c r="H93" s="1"/>
      <c r="I93" s="2" t="str">
        <f ca="1">IFERROR(__xludf.DUMMYFUNCTION("""COMPUTED_VALUE"""),"https://www.walgreens.com/schedulevaccine")</f>
        <v>https://www.walgreens.com/schedulevaccine</v>
      </c>
      <c r="J93" s="1"/>
      <c r="K93" s="1" t="str">
        <f ca="1">IFERROR(__xludf.DUMMYFUNCTION("""COMPUTED_VALUE"""),"1-800-WALGREENS")</f>
        <v>1-800-WALGREENS</v>
      </c>
      <c r="L93" s="1"/>
      <c r="M93" s="1" t="str">
        <f ca="1">IFERROR(__xludf.DUMMYFUNCTION("""COMPUTED_VALUE"""),"Schedule an appointment using the button below")</f>
        <v>Schedule an appointment using the button below</v>
      </c>
      <c r="N93" s="1"/>
      <c r="O93" s="1" t="str">
        <f ca="1">IFERROR(__xludf.DUMMYFUNCTION("""COMPUTED_VALUE"""),"Yes")</f>
        <v>Yes</v>
      </c>
      <c r="P93" s="1" t="str">
        <f ca="1">IFERROR(__xludf.DUMMYFUNCTION("""COMPUTED_VALUE"""),"21212")</f>
        <v>21212</v>
      </c>
      <c r="Q93" s="1" t="str">
        <f ca="1">IFERROR(__xludf.DUMMYFUNCTION("""COMPUTED_VALUE"""),"Yes")</f>
        <v>Yes</v>
      </c>
      <c r="R93" s="1" t="str">
        <f ca="1">IFERROR(__xludf.DUMMYFUNCTION("""COMPUTED_VALUE"""),"Yes")</f>
        <v>Yes</v>
      </c>
      <c r="S93" s="1" t="str">
        <f ca="1">IFERROR(__xludf.DUMMYFUNCTION("""COMPUTED_VALUE"""),"No")</f>
        <v>No</v>
      </c>
      <c r="T93" s="1" t="str">
        <f ca="1">IFERROR(__xludf.DUMMYFUNCTION("""COMPUTED_VALUE"""),"Yes")</f>
        <v>Yes</v>
      </c>
    </row>
    <row r="94" spans="1:20" ht="13" x14ac:dyDescent="0.6">
      <c r="A94" s="1" t="str">
        <f ca="1">IFERROR(__xludf.DUMMYFUNCTION("""COMPUTED_VALUE"""),"Baltimore City")</f>
        <v>Baltimore City</v>
      </c>
      <c r="B94" s="1" t="str">
        <f ca="1">IFERROR(__xludf.DUMMYFUNCTION("""COMPUTED_VALUE"""),"Baltimore")</f>
        <v>Baltimore</v>
      </c>
      <c r="C94" s="1" t="str">
        <f ca="1">IFERROR(__xludf.DUMMYFUNCTION("""COMPUTED_VALUE"""),"Walgreens Baltimore")</f>
        <v>Walgreens Baltimore</v>
      </c>
      <c r="D94" s="1" t="str">
        <f ca="1">IFERROR(__xludf.DUMMYFUNCTION("""COMPUTED_VALUE"""),"4020 Eastern Ave Baltimore MD 21224")</f>
        <v>4020 Eastern Ave Baltimore MD 21224</v>
      </c>
      <c r="E94" s="1" t="str">
        <f ca="1">IFERROR(__xludf.DUMMYFUNCTION("""COMPUTED_VALUE"""),"Yes")</f>
        <v>Yes</v>
      </c>
      <c r="F94" s="1" t="str">
        <f ca="1">IFERROR(__xludf.DUMMYFUNCTION("""COMPUTED_VALUE"""),"Pharmacy")</f>
        <v>Pharmacy</v>
      </c>
      <c r="G94" s="1"/>
      <c r="H94" s="1"/>
      <c r="I94" s="2" t="str">
        <f ca="1">IFERROR(__xludf.DUMMYFUNCTION("""COMPUTED_VALUE"""),"https://www.walgreens.com/schedulevaccine")</f>
        <v>https://www.walgreens.com/schedulevaccine</v>
      </c>
      <c r="J94" s="1"/>
      <c r="K94" s="1" t="str">
        <f ca="1">IFERROR(__xludf.DUMMYFUNCTION("""COMPUTED_VALUE"""),"1-800-WALGREENS")</f>
        <v>1-800-WALGREENS</v>
      </c>
      <c r="L94" s="1"/>
      <c r="M94" s="1" t="str">
        <f ca="1">IFERROR(__xludf.DUMMYFUNCTION("""COMPUTED_VALUE"""),"Schedule an appointment using the button below")</f>
        <v>Schedule an appointment using the button below</v>
      </c>
      <c r="N94" s="1"/>
      <c r="O94" s="1" t="str">
        <f ca="1">IFERROR(__xludf.DUMMYFUNCTION("""COMPUTED_VALUE"""),"Yes")</f>
        <v>Yes</v>
      </c>
      <c r="P94" s="1" t="str">
        <f ca="1">IFERROR(__xludf.DUMMYFUNCTION("""COMPUTED_VALUE"""),"21224")</f>
        <v>21224</v>
      </c>
      <c r="Q94" s="1" t="str">
        <f ca="1">IFERROR(__xludf.DUMMYFUNCTION("""COMPUTED_VALUE"""),"Yes")</f>
        <v>Yes</v>
      </c>
      <c r="R94" s="1" t="str">
        <f ca="1">IFERROR(__xludf.DUMMYFUNCTION("""COMPUTED_VALUE"""),"No")</f>
        <v>No</v>
      </c>
      <c r="S94" s="1" t="str">
        <f ca="1">IFERROR(__xludf.DUMMYFUNCTION("""COMPUTED_VALUE"""),"No")</f>
        <v>No</v>
      </c>
      <c r="T94" s="1" t="str">
        <f ca="1">IFERROR(__xludf.DUMMYFUNCTION("""COMPUTED_VALUE"""),"Yes")</f>
        <v>Yes</v>
      </c>
    </row>
    <row r="95" spans="1:20" ht="13" x14ac:dyDescent="0.6">
      <c r="A95" s="1" t="str">
        <f ca="1">IFERROR(__xludf.DUMMYFUNCTION("""COMPUTED_VALUE"""),"Baltimore City")</f>
        <v>Baltimore City</v>
      </c>
      <c r="B95" s="1" t="str">
        <f ca="1">IFERROR(__xludf.DUMMYFUNCTION("""COMPUTED_VALUE"""),"Baltimore")</f>
        <v>Baltimore</v>
      </c>
      <c r="C95" s="1" t="str">
        <f ca="1">IFERROR(__xludf.DUMMYFUNCTION("""COMPUTED_VALUE"""),"Walgreens Baltimore")</f>
        <v>Walgreens Baltimore</v>
      </c>
      <c r="D95" s="1" t="str">
        <f ca="1">IFERROR(__xludf.DUMMYFUNCTION("""COMPUTED_VALUE"""),"711 West 40th Street Baltimore MD 21211")</f>
        <v>711 West 40th Street Baltimore MD 21211</v>
      </c>
      <c r="E95" s="1" t="str">
        <f ca="1">IFERROR(__xludf.DUMMYFUNCTION("""COMPUTED_VALUE"""),"Yes")</f>
        <v>Yes</v>
      </c>
      <c r="F95" s="1" t="str">
        <f ca="1">IFERROR(__xludf.DUMMYFUNCTION("""COMPUTED_VALUE"""),"Pharmacy")</f>
        <v>Pharmacy</v>
      </c>
      <c r="G95" s="1"/>
      <c r="H95" s="1"/>
      <c r="I95" s="2" t="str">
        <f ca="1">IFERROR(__xludf.DUMMYFUNCTION("""COMPUTED_VALUE"""),"https://www.walgreens.com/schedulevaccine")</f>
        <v>https://www.walgreens.com/schedulevaccine</v>
      </c>
      <c r="J95" s="1"/>
      <c r="K95" s="1" t="str">
        <f ca="1">IFERROR(__xludf.DUMMYFUNCTION("""COMPUTED_VALUE"""),"1-800-WALGREENS")</f>
        <v>1-800-WALGREENS</v>
      </c>
      <c r="L95" s="1"/>
      <c r="M95" s="1" t="str">
        <f ca="1">IFERROR(__xludf.DUMMYFUNCTION("""COMPUTED_VALUE"""),"Schedule an appointment using the button below")</f>
        <v>Schedule an appointment using the button below</v>
      </c>
      <c r="N95" s="1"/>
      <c r="O95" s="1"/>
      <c r="P95" s="1" t="str">
        <f ca="1">IFERROR(__xludf.DUMMYFUNCTION("""COMPUTED_VALUE"""),"21211")</f>
        <v>21211</v>
      </c>
      <c r="Q95" s="1" t="str">
        <f ca="1">IFERROR(__xludf.DUMMYFUNCTION("""COMPUTED_VALUE"""),"Yes")</f>
        <v>Yes</v>
      </c>
      <c r="R95" s="1" t="str">
        <f ca="1">IFERROR(__xludf.DUMMYFUNCTION("""COMPUTED_VALUE"""),"No")</f>
        <v>No</v>
      </c>
      <c r="S95" s="1" t="str">
        <f ca="1">IFERROR(__xludf.DUMMYFUNCTION("""COMPUTED_VALUE"""),"No")</f>
        <v>No</v>
      </c>
      <c r="T95" s="1" t="str">
        <f ca="1">IFERROR(__xludf.DUMMYFUNCTION("""COMPUTED_VALUE"""),"Yes")</f>
        <v>Yes</v>
      </c>
    </row>
    <row r="96" spans="1:20" ht="13" x14ac:dyDescent="0.6">
      <c r="A96" s="1" t="str">
        <f ca="1">IFERROR(__xludf.DUMMYFUNCTION("""COMPUTED_VALUE"""),"Baltimore City")</f>
        <v>Baltimore City</v>
      </c>
      <c r="B96" s="1" t="str">
        <f ca="1">IFERROR(__xludf.DUMMYFUNCTION("""COMPUTED_VALUE"""),"Baltimore")</f>
        <v>Baltimore</v>
      </c>
      <c r="C96" s="1" t="str">
        <f ca="1">IFERROR(__xludf.DUMMYFUNCTION("""COMPUTED_VALUE"""),"Walgreens Baltimore")</f>
        <v>Walgreens Baltimore</v>
      </c>
      <c r="D96" s="1" t="str">
        <f ca="1">IFERROR(__xludf.DUMMYFUNCTION("""COMPUTED_VALUE"""),"900 N Washington St Baltimore Maryland 21205")</f>
        <v>900 N Washington St Baltimore Maryland 21205</v>
      </c>
      <c r="E96" s="1" t="str">
        <f ca="1">IFERROR(__xludf.DUMMYFUNCTION("""COMPUTED_VALUE"""),"Yes")</f>
        <v>Yes</v>
      </c>
      <c r="F96" s="1" t="str">
        <f ca="1">IFERROR(__xludf.DUMMYFUNCTION("""COMPUTED_VALUE"""),"Pharmacy")</f>
        <v>Pharmacy</v>
      </c>
      <c r="G96" s="1"/>
      <c r="H96" s="1"/>
      <c r="I96" s="2" t="str">
        <f ca="1">IFERROR(__xludf.DUMMYFUNCTION("""COMPUTED_VALUE"""),"https://www.walgreens.com/schedulevaccine")</f>
        <v>https://www.walgreens.com/schedulevaccine</v>
      </c>
      <c r="J96" s="1"/>
      <c r="K96" s="1" t="str">
        <f ca="1">IFERROR(__xludf.DUMMYFUNCTION("""COMPUTED_VALUE"""),"1-800-WALGREENS")</f>
        <v>1-800-WALGREENS</v>
      </c>
      <c r="L96" s="1"/>
      <c r="M96" s="1" t="str">
        <f ca="1">IFERROR(__xludf.DUMMYFUNCTION("""COMPUTED_VALUE"""),"Schedule an appointment using the button below")</f>
        <v>Schedule an appointment using the button below</v>
      </c>
      <c r="N96" s="1"/>
      <c r="O96" s="1" t="str">
        <f ca="1">IFERROR(__xludf.DUMMYFUNCTION("""COMPUTED_VALUE"""),"Yes")</f>
        <v>Yes</v>
      </c>
      <c r="P96" s="1" t="str">
        <f ca="1">IFERROR(__xludf.DUMMYFUNCTION("""COMPUTED_VALUE"""),"21205")</f>
        <v>21205</v>
      </c>
      <c r="Q96" s="1" t="str">
        <f ca="1">IFERROR(__xludf.DUMMYFUNCTION("""COMPUTED_VALUE"""),"Yes")</f>
        <v>Yes</v>
      </c>
      <c r="R96" s="1" t="str">
        <f ca="1">IFERROR(__xludf.DUMMYFUNCTION("""COMPUTED_VALUE"""),"No")</f>
        <v>No</v>
      </c>
      <c r="S96" s="1" t="str">
        <f ca="1">IFERROR(__xludf.DUMMYFUNCTION("""COMPUTED_VALUE"""),"No")</f>
        <v>No</v>
      </c>
      <c r="T96" s="1" t="str">
        <f ca="1">IFERROR(__xludf.DUMMYFUNCTION("""COMPUTED_VALUE"""),"Yes")</f>
        <v>Yes</v>
      </c>
    </row>
    <row r="97" spans="1:20" ht="13" x14ac:dyDescent="0.6">
      <c r="A97" s="1" t="str">
        <f ca="1">IFERROR(__xludf.DUMMYFUNCTION("""COMPUTED_VALUE"""),"Baltimore City")</f>
        <v>Baltimore City</v>
      </c>
      <c r="B97" s="1" t="str">
        <f ca="1">IFERROR(__xludf.DUMMYFUNCTION("""COMPUTED_VALUE"""),"Baltimore")</f>
        <v>Baltimore</v>
      </c>
      <c r="C97" s="1" t="str">
        <f ca="1">IFERROR(__xludf.DUMMYFUNCTION("""COMPUTED_VALUE"""),"Walgreens Baltimore")</f>
        <v>Walgreens Baltimore</v>
      </c>
      <c r="D97" s="1" t="str">
        <f ca="1">IFERROR(__xludf.DUMMYFUNCTION("""COMPUTED_VALUE"""),"300 Martin Luther King Jr Blvd Baltimore Maryland 21201")</f>
        <v>300 Martin Luther King Jr Blvd Baltimore Maryland 21201</v>
      </c>
      <c r="E97" s="1" t="str">
        <f ca="1">IFERROR(__xludf.DUMMYFUNCTION("""COMPUTED_VALUE"""),"Yes")</f>
        <v>Yes</v>
      </c>
      <c r="F97" s="1" t="str">
        <f ca="1">IFERROR(__xludf.DUMMYFUNCTION("""COMPUTED_VALUE"""),"Pharmacy")</f>
        <v>Pharmacy</v>
      </c>
      <c r="G97" s="1"/>
      <c r="H97" s="1"/>
      <c r="I97" s="2" t="str">
        <f ca="1">IFERROR(__xludf.DUMMYFUNCTION("""COMPUTED_VALUE"""),"https://www.walgreens.com/schedulevaccine")</f>
        <v>https://www.walgreens.com/schedulevaccine</v>
      </c>
      <c r="J97" s="1"/>
      <c r="K97" s="1" t="str">
        <f ca="1">IFERROR(__xludf.DUMMYFUNCTION("""COMPUTED_VALUE"""),"1-800-WALGREENS")</f>
        <v>1-800-WALGREENS</v>
      </c>
      <c r="L97" s="1"/>
      <c r="M97" s="1" t="str">
        <f ca="1">IFERROR(__xludf.DUMMYFUNCTION("""COMPUTED_VALUE"""),"Schedule an appointment using the button below")</f>
        <v>Schedule an appointment using the button below</v>
      </c>
      <c r="N97" s="1"/>
      <c r="O97" s="1"/>
      <c r="P97" s="1" t="str">
        <f ca="1">IFERROR(__xludf.DUMMYFUNCTION("""COMPUTED_VALUE"""),"21201")</f>
        <v>21201</v>
      </c>
      <c r="Q97" s="1" t="str">
        <f ca="1">IFERROR(__xludf.DUMMYFUNCTION("""COMPUTED_VALUE"""),"Yes")</f>
        <v>Yes</v>
      </c>
      <c r="R97" s="1" t="str">
        <f ca="1">IFERROR(__xludf.DUMMYFUNCTION("""COMPUTED_VALUE"""),"No")</f>
        <v>No</v>
      </c>
      <c r="S97" s="1" t="str">
        <f ca="1">IFERROR(__xludf.DUMMYFUNCTION("""COMPUTED_VALUE"""),"No")</f>
        <v>No</v>
      </c>
      <c r="T97" s="1" t="str">
        <f ca="1">IFERROR(__xludf.DUMMYFUNCTION("""COMPUTED_VALUE"""),"Yes")</f>
        <v>Yes</v>
      </c>
    </row>
    <row r="98" spans="1:20" ht="13" x14ac:dyDescent="0.6">
      <c r="A98" s="1" t="str">
        <f ca="1">IFERROR(__xludf.DUMMYFUNCTION("""COMPUTED_VALUE"""),"Baltimore City")</f>
        <v>Baltimore City</v>
      </c>
      <c r="B98" s="1" t="str">
        <f ca="1">IFERROR(__xludf.DUMMYFUNCTION("""COMPUTED_VALUE"""),"Baltimore")</f>
        <v>Baltimore</v>
      </c>
      <c r="C98" s="1" t="str">
        <f ca="1">IFERROR(__xludf.DUMMYFUNCTION("""COMPUTED_VALUE"""),"Walgreens Baltimore")</f>
        <v>Walgreens Baltimore</v>
      </c>
      <c r="D98" s="1" t="str">
        <f ca="1">IFERROR(__xludf.DUMMYFUNCTION("""COMPUTED_VALUE"""),"2700 Remington Ave Baltimore Maryland 21211")</f>
        <v>2700 Remington Ave Baltimore Maryland 21211</v>
      </c>
      <c r="E98" s="1" t="str">
        <f ca="1">IFERROR(__xludf.DUMMYFUNCTION("""COMPUTED_VALUE"""),"Yes")</f>
        <v>Yes</v>
      </c>
      <c r="F98" s="1" t="str">
        <f ca="1">IFERROR(__xludf.DUMMYFUNCTION("""COMPUTED_VALUE"""),"Pharmacy")</f>
        <v>Pharmacy</v>
      </c>
      <c r="G98" s="1"/>
      <c r="H98" s="1"/>
      <c r="I98" s="2" t="str">
        <f ca="1">IFERROR(__xludf.DUMMYFUNCTION("""COMPUTED_VALUE"""),"https://www.walgreens.com/schedulevaccine")</f>
        <v>https://www.walgreens.com/schedulevaccine</v>
      </c>
      <c r="J98" s="1"/>
      <c r="K98" s="1" t="str">
        <f ca="1">IFERROR(__xludf.DUMMYFUNCTION("""COMPUTED_VALUE"""),"1-800-WALGREENS")</f>
        <v>1-800-WALGREENS</v>
      </c>
      <c r="L98" s="1"/>
      <c r="M98" s="1" t="str">
        <f ca="1">IFERROR(__xludf.DUMMYFUNCTION("""COMPUTED_VALUE"""),"Schedule an appointment using the button below")</f>
        <v>Schedule an appointment using the button below</v>
      </c>
      <c r="N98" s="1"/>
      <c r="O98" s="1" t="str">
        <f ca="1">IFERROR(__xludf.DUMMYFUNCTION("""COMPUTED_VALUE"""),"Yes")</f>
        <v>Yes</v>
      </c>
      <c r="P98" s="1" t="str">
        <f ca="1">IFERROR(__xludf.DUMMYFUNCTION("""COMPUTED_VALUE"""),"21211")</f>
        <v>21211</v>
      </c>
      <c r="Q98" s="1" t="str">
        <f ca="1">IFERROR(__xludf.DUMMYFUNCTION("""COMPUTED_VALUE"""),"No")</f>
        <v>No</v>
      </c>
      <c r="R98" s="1" t="str">
        <f ca="1">IFERROR(__xludf.DUMMYFUNCTION("""COMPUTED_VALUE"""),"No")</f>
        <v>No</v>
      </c>
      <c r="S98" s="1" t="str">
        <f ca="1">IFERROR(__xludf.DUMMYFUNCTION("""COMPUTED_VALUE"""),"No")</f>
        <v>No</v>
      </c>
      <c r="T98" s="1" t="str">
        <f ca="1">IFERROR(__xludf.DUMMYFUNCTION("""COMPUTED_VALUE"""),"Yes")</f>
        <v>Yes</v>
      </c>
    </row>
    <row r="99" spans="1:20" ht="13" x14ac:dyDescent="0.6">
      <c r="A99" s="1" t="str">
        <f ca="1">IFERROR(__xludf.DUMMYFUNCTION("""COMPUTED_VALUE"""),"Baltimore City")</f>
        <v>Baltimore City</v>
      </c>
      <c r="B99" s="1" t="str">
        <f ca="1">IFERROR(__xludf.DUMMYFUNCTION("""COMPUTED_VALUE"""),"Baltimore")</f>
        <v>Baltimore</v>
      </c>
      <c r="C99" s="1" t="str">
        <f ca="1">IFERROR(__xludf.DUMMYFUNCTION("""COMPUTED_VALUE"""),"CVS Baltimore")</f>
        <v>CVS Baltimore</v>
      </c>
      <c r="D99" s="1" t="str">
        <f ca="1">IFERROR(__xludf.DUMMYFUNCTION("""COMPUTED_VALUE"""),"630 Exeter St. Baltimore MD 21202")</f>
        <v>630 Exeter St. Baltimore MD 21202</v>
      </c>
      <c r="E99" s="1" t="str">
        <f ca="1">IFERROR(__xludf.DUMMYFUNCTION("""COMPUTED_VALUE"""),"Yes")</f>
        <v>Yes</v>
      </c>
      <c r="F99" s="1" t="str">
        <f ca="1">IFERROR(__xludf.DUMMYFUNCTION("""COMPUTED_VALUE"""),"Pharmacy")</f>
        <v>Pharmacy</v>
      </c>
      <c r="G99" s="1"/>
      <c r="H99" s="1"/>
      <c r="I99" s="2" t="str">
        <f ca="1">IFERROR(__xludf.DUMMYFUNCTION("""COMPUTED_VALUE"""),"https://www.cvs.com/immunizations/covid-19-vaccine")</f>
        <v>https://www.cvs.com/immunizations/covid-19-vaccine</v>
      </c>
      <c r="J99" s="1" t="str">
        <f ca="1">IFERROR(__xludf.DUMMYFUNCTION("""COMPUTED_VALUE"""),"Yes")</f>
        <v>Yes</v>
      </c>
      <c r="K99" s="1" t="str">
        <f ca="1">IFERROR(__xludf.DUMMYFUNCTION("""COMPUTED_VALUE"""),"800-746-7287")</f>
        <v>800-746-7287</v>
      </c>
      <c r="L99" s="1"/>
      <c r="M99" s="1" t="str">
        <f ca="1">IFERROR(__xludf.DUMMYFUNCTION("""COMPUTED_VALUE"""),"Schedule an appointment using the button below")</f>
        <v>Schedule an appointment using the button below</v>
      </c>
      <c r="N99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99" s="1" t="str">
        <f ca="1">IFERROR(__xludf.DUMMYFUNCTION("""COMPUTED_VALUE"""),"Yes")</f>
        <v>Yes</v>
      </c>
      <c r="P99" s="1" t="str">
        <f ca="1">IFERROR(__xludf.DUMMYFUNCTION("""COMPUTED_VALUE"""),"21202")</f>
        <v>21202</v>
      </c>
      <c r="Q99" s="1" t="str">
        <f ca="1">IFERROR(__xludf.DUMMYFUNCTION("""COMPUTED_VALUE"""),"Yes")</f>
        <v>Yes</v>
      </c>
      <c r="R99" s="1" t="str">
        <f ca="1">IFERROR(__xludf.DUMMYFUNCTION("""COMPUTED_VALUE"""),"No")</f>
        <v>No</v>
      </c>
      <c r="S99" s="1" t="str">
        <f ca="1">IFERROR(__xludf.DUMMYFUNCTION("""COMPUTED_VALUE"""),"No")</f>
        <v>No</v>
      </c>
      <c r="T99" s="1" t="str">
        <f ca="1">IFERROR(__xludf.DUMMYFUNCTION("""COMPUTED_VALUE"""),"Yes")</f>
        <v>Yes</v>
      </c>
    </row>
    <row r="100" spans="1:20" ht="13" x14ac:dyDescent="0.6">
      <c r="A100" s="1" t="str">
        <f ca="1">IFERROR(__xludf.DUMMYFUNCTION("""COMPUTED_VALUE"""),"Baltimore City")</f>
        <v>Baltimore City</v>
      </c>
      <c r="B100" s="1" t="str">
        <f ca="1">IFERROR(__xludf.DUMMYFUNCTION("""COMPUTED_VALUE"""),"Baltimore")</f>
        <v>Baltimore</v>
      </c>
      <c r="C100" s="1" t="str">
        <f ca="1">IFERROR(__xludf.DUMMYFUNCTION("""COMPUTED_VALUE"""),"Safeway Baltimore")</f>
        <v>Safeway Baltimore</v>
      </c>
      <c r="D100" s="1" t="str">
        <f ca="1">IFERROR(__xludf.DUMMYFUNCTION("""COMPUTED_VALUE"""),"2610 Boston Street Baltimore MD 21224")</f>
        <v>2610 Boston Street Baltimore MD 21224</v>
      </c>
      <c r="E100" s="1" t="str">
        <f ca="1">IFERROR(__xludf.DUMMYFUNCTION("""COMPUTED_VALUE"""),"Yes")</f>
        <v>Yes</v>
      </c>
      <c r="F100" s="1" t="str">
        <f ca="1">IFERROR(__xludf.DUMMYFUNCTION("""COMPUTED_VALUE"""),"Pharmacy")</f>
        <v>Pharmacy</v>
      </c>
      <c r="G100" s="1"/>
      <c r="H100" s="1"/>
      <c r="I100" s="2" t="str">
        <f ca="1">IFERROR(__xludf.DUMMYFUNCTION("""COMPUTED_VALUE"""),"https://www.safeway.com/covid-19")</f>
        <v>https://www.safeway.com/covid-19</v>
      </c>
      <c r="J100" s="1"/>
      <c r="K100" s="1"/>
      <c r="L100" s="1"/>
      <c r="M100" s="1" t="str">
        <f ca="1">IFERROR(__xludf.DUMMYFUNCTION("""COMPUTED_VALUE"""),"Schedule an appointment using the button below")</f>
        <v>Schedule an appointment using the button below</v>
      </c>
      <c r="N100" s="1"/>
      <c r="O100" s="1" t="str">
        <f ca="1">IFERROR(__xludf.DUMMYFUNCTION("""COMPUTED_VALUE"""),"Yes")</f>
        <v>Yes</v>
      </c>
      <c r="P100" s="1" t="str">
        <f ca="1">IFERROR(__xludf.DUMMYFUNCTION("""COMPUTED_VALUE"""),"21224")</f>
        <v>21224</v>
      </c>
      <c r="Q100" s="1" t="str">
        <f ca="1">IFERROR(__xludf.DUMMYFUNCTION("""COMPUTED_VALUE"""),"Yes")</f>
        <v>Yes</v>
      </c>
      <c r="R100" s="1" t="str">
        <f ca="1">IFERROR(__xludf.DUMMYFUNCTION("""COMPUTED_VALUE"""),"Yes")</f>
        <v>Yes</v>
      </c>
      <c r="S100" s="1" t="str">
        <f ca="1">IFERROR(__xludf.DUMMYFUNCTION("""COMPUTED_VALUE"""),"Yes")</f>
        <v>Yes</v>
      </c>
      <c r="T100" s="1" t="str">
        <f ca="1">IFERROR(__xludf.DUMMYFUNCTION("""COMPUTED_VALUE"""),"Yes")</f>
        <v>Yes</v>
      </c>
    </row>
    <row r="101" spans="1:20" ht="13" x14ac:dyDescent="0.6">
      <c r="A101" s="1" t="str">
        <f ca="1">IFERROR(__xludf.DUMMYFUNCTION("""COMPUTED_VALUE"""),"Baltimore City")</f>
        <v>Baltimore City</v>
      </c>
      <c r="B101" s="1" t="str">
        <f ca="1">IFERROR(__xludf.DUMMYFUNCTION("""COMPUTED_VALUE"""),"Baltimore")</f>
        <v>Baltimore</v>
      </c>
      <c r="C101" s="1" t="str">
        <f ca="1">IFERROR(__xludf.DUMMYFUNCTION("""COMPUTED_VALUE"""),"Rite Aid Baltimore (West Northern Parkway)")</f>
        <v>Rite Aid Baltimore (West Northern Parkway)</v>
      </c>
      <c r="D101" s="1" t="str">
        <f ca="1">IFERROR(__xludf.DUMMYFUNCTION("""COMPUTED_VALUE"""),"4600 West Northern Parkway Baltimore, MD 21215")</f>
        <v>4600 West Northern Parkway Baltimore, MD 21215</v>
      </c>
      <c r="E101" s="1" t="str">
        <f ca="1">IFERROR(__xludf.DUMMYFUNCTION("""COMPUTED_VALUE"""),"Yes")</f>
        <v>Yes</v>
      </c>
      <c r="F101" s="1" t="str">
        <f ca="1">IFERROR(__xludf.DUMMYFUNCTION("""COMPUTED_VALUE"""),"Pharmacy")</f>
        <v>Pharmacy</v>
      </c>
      <c r="G101" s="1"/>
      <c r="H101" s="1"/>
      <c r="I101" s="2" t="str">
        <f ca="1">IFERROR(__xludf.DUMMYFUNCTION("""COMPUTED_VALUE"""),"https://www.riteaid.com/pharmacy/covid-qualifier")</f>
        <v>https://www.riteaid.com/pharmacy/covid-qualifier</v>
      </c>
      <c r="J101" s="1"/>
      <c r="K101" s="1"/>
      <c r="L101" s="1"/>
      <c r="M101" s="1" t="str">
        <f ca="1">IFERROR(__xludf.DUMMYFUNCTION("""COMPUTED_VALUE"""),"Schedule an appointment using the button below")</f>
        <v>Schedule an appointment using the button below</v>
      </c>
      <c r="N101" s="1"/>
      <c r="O101" s="1"/>
      <c r="P101" s="1" t="str">
        <f ca="1">IFERROR(__xludf.DUMMYFUNCTION("""COMPUTED_VALUE"""),"21215")</f>
        <v>21215</v>
      </c>
      <c r="Q101" s="1" t="str">
        <f ca="1">IFERROR(__xludf.DUMMYFUNCTION("""COMPUTED_VALUE"""),"Yes")</f>
        <v>Yes</v>
      </c>
      <c r="R101" s="1" t="str">
        <f ca="1">IFERROR(__xludf.DUMMYFUNCTION("""COMPUTED_VALUE"""),"Yes")</f>
        <v>Yes</v>
      </c>
      <c r="S101" s="1" t="str">
        <f ca="1">IFERROR(__xludf.DUMMYFUNCTION("""COMPUTED_VALUE"""),"No")</f>
        <v>No</v>
      </c>
      <c r="T101" s="1" t="str">
        <f ca="1">IFERROR(__xludf.DUMMYFUNCTION("""COMPUTED_VALUE"""),"Yes")</f>
        <v>Yes</v>
      </c>
    </row>
    <row r="102" spans="1:20" ht="13" x14ac:dyDescent="0.6">
      <c r="A102" s="1" t="str">
        <f ca="1">IFERROR(__xludf.DUMMYFUNCTION("""COMPUTED_VALUE"""),"Baltimore City")</f>
        <v>Baltimore City</v>
      </c>
      <c r="B102" s="1" t="str">
        <f ca="1">IFERROR(__xludf.DUMMYFUNCTION("""COMPUTED_VALUE"""),"Baltimore")</f>
        <v>Baltimore</v>
      </c>
      <c r="C102" s="1" t="str">
        <f ca="1">IFERROR(__xludf.DUMMYFUNCTION("""COMPUTED_VALUE"""),"Rite Aid Baltimore (York Road)")</f>
        <v>Rite Aid Baltimore (York Road)</v>
      </c>
      <c r="D102" s="1" t="str">
        <f ca="1">IFERROR(__xludf.DUMMYFUNCTION("""COMPUTED_VALUE"""),"6300 York Road Baltimore, MD 21212")</f>
        <v>6300 York Road Baltimore, MD 21212</v>
      </c>
      <c r="E102" s="1" t="str">
        <f ca="1">IFERROR(__xludf.DUMMYFUNCTION("""COMPUTED_VALUE"""),"Yes")</f>
        <v>Yes</v>
      </c>
      <c r="F102" s="1" t="str">
        <f ca="1">IFERROR(__xludf.DUMMYFUNCTION("""COMPUTED_VALUE"""),"Pharmacy")</f>
        <v>Pharmacy</v>
      </c>
      <c r="G102" s="1"/>
      <c r="H102" s="1"/>
      <c r="I102" s="2" t="str">
        <f ca="1">IFERROR(__xludf.DUMMYFUNCTION("""COMPUTED_VALUE"""),"https://www.riteaid.com/pharmacy/covid-qualifier")</f>
        <v>https://www.riteaid.com/pharmacy/covid-qualifier</v>
      </c>
      <c r="J102" s="1"/>
      <c r="K102" s="1"/>
      <c r="L102" s="1"/>
      <c r="M102" s="1" t="str">
        <f ca="1">IFERROR(__xludf.DUMMYFUNCTION("""COMPUTED_VALUE"""),"Schedule an appointment using the button below")</f>
        <v>Schedule an appointment using the button below</v>
      </c>
      <c r="N102" s="1"/>
      <c r="O102" s="1"/>
      <c r="P102" s="1" t="str">
        <f ca="1">IFERROR(__xludf.DUMMYFUNCTION("""COMPUTED_VALUE"""),"21212")</f>
        <v>21212</v>
      </c>
      <c r="Q102" s="1" t="str">
        <f ca="1">IFERROR(__xludf.DUMMYFUNCTION("""COMPUTED_VALUE"""),"Yes")</f>
        <v>Yes</v>
      </c>
      <c r="R102" s="1" t="str">
        <f ca="1">IFERROR(__xludf.DUMMYFUNCTION("""COMPUTED_VALUE"""),"Yes")</f>
        <v>Yes</v>
      </c>
      <c r="S102" s="1" t="str">
        <f ca="1">IFERROR(__xludf.DUMMYFUNCTION("""COMPUTED_VALUE"""),"No")</f>
        <v>No</v>
      </c>
      <c r="T102" s="1" t="str">
        <f ca="1">IFERROR(__xludf.DUMMYFUNCTION("""COMPUTED_VALUE"""),"Yes")</f>
        <v>Yes</v>
      </c>
    </row>
    <row r="103" spans="1:20" ht="13" x14ac:dyDescent="0.6">
      <c r="A103" s="1" t="str">
        <f ca="1">IFERROR(__xludf.DUMMYFUNCTION("""COMPUTED_VALUE"""),"Baltimore City")</f>
        <v>Baltimore City</v>
      </c>
      <c r="B103" s="1" t="str">
        <f ca="1">IFERROR(__xludf.DUMMYFUNCTION("""COMPUTED_VALUE"""),"Baltimore")</f>
        <v>Baltimore</v>
      </c>
      <c r="C103" s="1" t="str">
        <f ca="1">IFERROR(__xludf.DUMMYFUNCTION("""COMPUTED_VALUE"""),"CVS Baltimore")</f>
        <v>CVS Baltimore</v>
      </c>
      <c r="D103" s="1" t="str">
        <f ca="1">IFERROR(__xludf.DUMMYFUNCTION("""COMPUTED_VALUE"""),"3559 Boston St, Baltimore, MD 21224")</f>
        <v>3559 Boston St, Baltimore, MD 21224</v>
      </c>
      <c r="E103" s="1" t="str">
        <f ca="1">IFERROR(__xludf.DUMMYFUNCTION("""COMPUTED_VALUE"""),"Yes")</f>
        <v>Yes</v>
      </c>
      <c r="F103" s="1" t="str">
        <f ca="1">IFERROR(__xludf.DUMMYFUNCTION("""COMPUTED_VALUE"""),"Pharmacy")</f>
        <v>Pharmacy</v>
      </c>
      <c r="G103" s="1"/>
      <c r="H103" s="1"/>
      <c r="I103" s="2" t="str">
        <f ca="1">IFERROR(__xludf.DUMMYFUNCTION("""COMPUTED_VALUE"""),"https://www.cvs.com/immunizations/covid-19-vaccine")</f>
        <v>https://www.cvs.com/immunizations/covid-19-vaccine</v>
      </c>
      <c r="J103" s="1" t="str">
        <f ca="1">IFERROR(__xludf.DUMMYFUNCTION("""COMPUTED_VALUE"""),"Yes")</f>
        <v>Yes</v>
      </c>
      <c r="K103" s="1" t="str">
        <f ca="1">IFERROR(__xludf.DUMMYFUNCTION("""COMPUTED_VALUE"""),"800-746-7287")</f>
        <v>800-746-7287</v>
      </c>
      <c r="L103" s="1"/>
      <c r="M103" s="1" t="str">
        <f ca="1">IFERROR(__xludf.DUMMYFUNCTION("""COMPUTED_VALUE"""),"Schedule an appointment using the button below")</f>
        <v>Schedule an appointment using the button below</v>
      </c>
      <c r="N10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03" s="1" t="str">
        <f ca="1">IFERROR(__xludf.DUMMYFUNCTION("""COMPUTED_VALUE"""),"Yes")</f>
        <v>Yes</v>
      </c>
      <c r="P103" s="1" t="str">
        <f ca="1">IFERROR(__xludf.DUMMYFUNCTION("""COMPUTED_VALUE"""),"21224")</f>
        <v>21224</v>
      </c>
      <c r="Q103" s="1" t="str">
        <f ca="1">IFERROR(__xludf.DUMMYFUNCTION("""COMPUTED_VALUE"""),"No")</f>
        <v>No</v>
      </c>
      <c r="R103" s="1" t="str">
        <f ca="1">IFERROR(__xludf.DUMMYFUNCTION("""COMPUTED_VALUE"""),"No")</f>
        <v>No</v>
      </c>
      <c r="S103" s="1" t="str">
        <f ca="1">IFERROR(__xludf.DUMMYFUNCTION("""COMPUTED_VALUE"""),"No")</f>
        <v>No</v>
      </c>
      <c r="T103" s="1" t="str">
        <f ca="1">IFERROR(__xludf.DUMMYFUNCTION("""COMPUTED_VALUE"""),"Yes")</f>
        <v>Yes</v>
      </c>
    </row>
    <row r="104" spans="1:20" ht="13" x14ac:dyDescent="0.6">
      <c r="A104" s="1" t="str">
        <f ca="1">IFERROR(__xludf.DUMMYFUNCTION("""COMPUTED_VALUE"""),"Baltimore City")</f>
        <v>Baltimore City</v>
      </c>
      <c r="B104" s="1" t="str">
        <f ca="1">IFERROR(__xludf.DUMMYFUNCTION("""COMPUTED_VALUE"""),"Baltimore")</f>
        <v>Baltimore</v>
      </c>
      <c r="C104" s="1" t="str">
        <f ca="1">IFERROR(__xludf.DUMMYFUNCTION("""COMPUTED_VALUE"""),"Harris Teeter Baltimore")</f>
        <v>Harris Teeter Baltimore</v>
      </c>
      <c r="D104" s="1" t="str">
        <f ca="1">IFERROR(__xludf.DUMMYFUNCTION("""COMPUTED_VALUE"""),"3779 Boston St Baltimore, MD 21224")</f>
        <v>3779 Boston St Baltimore, MD 21224</v>
      </c>
      <c r="E104" s="1" t="str">
        <f ca="1">IFERROR(__xludf.DUMMYFUNCTION("""COMPUTED_VALUE"""),"Yes")</f>
        <v>Yes</v>
      </c>
      <c r="F104" s="1" t="str">
        <f ca="1">IFERROR(__xludf.DUMMYFUNCTION("""COMPUTED_VALUE"""),"Pharmacy")</f>
        <v>Pharmacy</v>
      </c>
      <c r="G104" s="1"/>
      <c r="H104" s="1"/>
      <c r="I104" s="2" t="str">
        <f ca="1">IFERROR(__xludf.DUMMYFUNCTION("""COMPUTED_VALUE"""),"https://www.harristeeterpharmacy.com/rx/covid-eligibility")</f>
        <v>https://www.harristeeterpharmacy.com/rx/covid-eligibility</v>
      </c>
      <c r="J104" s="1" t="str">
        <f ca="1">IFERROR(__xludf.DUMMYFUNCTION("""COMPUTED_VALUE"""),"Yes")</f>
        <v>Yes</v>
      </c>
      <c r="K104" s="1"/>
      <c r="L104" s="1"/>
      <c r="M104" s="1" t="str">
        <f ca="1">IFERROR(__xludf.DUMMYFUNCTION("""COMPUTED_VALUE"""),"Schedule an appointment using the button below")</f>
        <v>Schedule an appointment using the button below</v>
      </c>
      <c r="N104" s="1"/>
      <c r="O104" s="1" t="str">
        <f ca="1">IFERROR(__xludf.DUMMYFUNCTION("""COMPUTED_VALUE"""),"Yes")</f>
        <v>Yes</v>
      </c>
      <c r="P104" s="1" t="str">
        <f ca="1">IFERROR(__xludf.DUMMYFUNCTION("""COMPUTED_VALUE"""),"21224")</f>
        <v>21224</v>
      </c>
      <c r="Q104" s="1" t="str">
        <f ca="1">IFERROR(__xludf.DUMMYFUNCTION("""COMPUTED_VALUE"""),"Yes")</f>
        <v>Yes</v>
      </c>
      <c r="R104" s="1" t="str">
        <f ca="1">IFERROR(__xludf.DUMMYFUNCTION("""COMPUTED_VALUE"""),"Yes")</f>
        <v>Yes</v>
      </c>
      <c r="S104" s="1" t="str">
        <f ca="1">IFERROR(__xludf.DUMMYFUNCTION("""COMPUTED_VALUE"""),"No")</f>
        <v>No</v>
      </c>
      <c r="T104" s="1" t="str">
        <f ca="1">IFERROR(__xludf.DUMMYFUNCTION("""COMPUTED_VALUE"""),"Yes")</f>
        <v>Yes</v>
      </c>
    </row>
    <row r="105" spans="1:20" ht="13" x14ac:dyDescent="0.6">
      <c r="A105" s="1" t="str">
        <f ca="1">IFERROR(__xludf.DUMMYFUNCTION("""COMPUTED_VALUE"""),"Baltimore City")</f>
        <v>Baltimore City</v>
      </c>
      <c r="B105" s="1" t="str">
        <f ca="1">IFERROR(__xludf.DUMMYFUNCTION("""COMPUTED_VALUE"""),"Baltimore")</f>
        <v>Baltimore</v>
      </c>
      <c r="C105" s="1" t="str">
        <f ca="1">IFERROR(__xludf.DUMMYFUNCTION("""COMPUTED_VALUE"""),"Rite Aid Baltimore")</f>
        <v>Rite Aid Baltimore</v>
      </c>
      <c r="D105" s="1" t="str">
        <f ca="1">IFERROR(__xludf.DUMMYFUNCTION("""COMPUTED_VALUE"""),"3804 Liberty Heights Avenue Baltimore, MD 21215")</f>
        <v>3804 Liberty Heights Avenue Baltimore, MD 21215</v>
      </c>
      <c r="E105" s="1" t="str">
        <f ca="1">IFERROR(__xludf.DUMMYFUNCTION("""COMPUTED_VALUE"""),"Yes")</f>
        <v>Yes</v>
      </c>
      <c r="F105" s="1" t="str">
        <f ca="1">IFERROR(__xludf.DUMMYFUNCTION("""COMPUTED_VALUE"""),"Pharmacy")</f>
        <v>Pharmacy</v>
      </c>
      <c r="G105" s="1"/>
      <c r="H105" s="1"/>
      <c r="I105" s="2" t="str">
        <f ca="1">IFERROR(__xludf.DUMMYFUNCTION("""COMPUTED_VALUE"""),"https://www.riteaid.com/pharmacy/covid-qualifier")</f>
        <v>https://www.riteaid.com/pharmacy/covid-qualifier</v>
      </c>
      <c r="J105" s="1"/>
      <c r="K105" s="1"/>
      <c r="L105" s="1"/>
      <c r="M105" s="1" t="str">
        <f ca="1">IFERROR(__xludf.DUMMYFUNCTION("""COMPUTED_VALUE"""),"Schedule an appointment using the button below")</f>
        <v>Schedule an appointment using the button below</v>
      </c>
      <c r="N105" s="1"/>
      <c r="O105" s="1"/>
      <c r="P105" s="1" t="str">
        <f ca="1">IFERROR(__xludf.DUMMYFUNCTION("""COMPUTED_VALUE"""),"21215")</f>
        <v>21215</v>
      </c>
      <c r="Q105" s="1" t="str">
        <f ca="1">IFERROR(__xludf.DUMMYFUNCTION("""COMPUTED_VALUE"""),"#N/A")</f>
        <v>#N/A</v>
      </c>
      <c r="R105" s="1" t="str">
        <f ca="1">IFERROR(__xludf.DUMMYFUNCTION("""COMPUTED_VALUE"""),"#N/A")</f>
        <v>#N/A</v>
      </c>
      <c r="S105" s="1" t="str">
        <f ca="1">IFERROR(__xludf.DUMMYFUNCTION("""COMPUTED_VALUE"""),"#N/A")</f>
        <v>#N/A</v>
      </c>
      <c r="T105" s="1" t="str">
        <f ca="1">IFERROR(__xludf.DUMMYFUNCTION("""COMPUTED_VALUE"""),"Yes")</f>
        <v>Yes</v>
      </c>
    </row>
    <row r="106" spans="1:20" ht="13" x14ac:dyDescent="0.6">
      <c r="A106" s="1" t="str">
        <f ca="1">IFERROR(__xludf.DUMMYFUNCTION("""COMPUTED_VALUE"""),"Calvert")</f>
        <v>Calvert</v>
      </c>
      <c r="B106" s="1" t="str">
        <f ca="1">IFERROR(__xludf.DUMMYFUNCTION("""COMPUTED_VALUE"""),"Prince Frederick")</f>
        <v>Prince Frederick</v>
      </c>
      <c r="C106" s="1" t="str">
        <f ca="1">IFERROR(__xludf.DUMMYFUNCTION("""COMPUTED_VALUE"""),"Walgreens Prince Frederick")</f>
        <v>Walgreens Prince Frederick</v>
      </c>
      <c r="D106" s="1" t="str">
        <f ca="1">IFERROR(__xludf.DUMMYFUNCTION("""COMPUTED_VALUE"""),"355 Market Square Drive Prince Frederick MD 20678")</f>
        <v>355 Market Square Drive Prince Frederick MD 20678</v>
      </c>
      <c r="E106" s="1" t="str">
        <f ca="1">IFERROR(__xludf.DUMMYFUNCTION("""COMPUTED_VALUE"""),"Yes")</f>
        <v>Yes</v>
      </c>
      <c r="F106" s="1" t="str">
        <f ca="1">IFERROR(__xludf.DUMMYFUNCTION("""COMPUTED_VALUE"""),"Pharmacy")</f>
        <v>Pharmacy</v>
      </c>
      <c r="G106" s="1"/>
      <c r="H106" s="1"/>
      <c r="I106" s="2" t="str">
        <f ca="1">IFERROR(__xludf.DUMMYFUNCTION("""COMPUTED_VALUE"""),"https://www.walgreens.com/schedulevaccine")</f>
        <v>https://www.walgreens.com/schedulevaccine</v>
      </c>
      <c r="J106" s="1"/>
      <c r="K106" s="1" t="str">
        <f ca="1">IFERROR(__xludf.DUMMYFUNCTION("""COMPUTED_VALUE"""),"1-800-WALGREENS")</f>
        <v>1-800-WALGREENS</v>
      </c>
      <c r="L106" s="1"/>
      <c r="M106" s="1" t="str">
        <f ca="1">IFERROR(__xludf.DUMMYFUNCTION("""COMPUTED_VALUE"""),"Schedule an appointment using the button below")</f>
        <v>Schedule an appointment using the button below</v>
      </c>
      <c r="N106" s="1"/>
      <c r="O106" s="1" t="str">
        <f ca="1">IFERROR(__xludf.DUMMYFUNCTION("""COMPUTED_VALUE"""),"Yes")</f>
        <v>Yes</v>
      </c>
      <c r="P106" s="1" t="str">
        <f ca="1">IFERROR(__xludf.DUMMYFUNCTION("""COMPUTED_VALUE"""),"20678")</f>
        <v>20678</v>
      </c>
      <c r="Q106" s="1" t="str">
        <f ca="1">IFERROR(__xludf.DUMMYFUNCTION("""COMPUTED_VALUE"""),"Yes")</f>
        <v>Yes</v>
      </c>
      <c r="R106" s="1" t="str">
        <f ca="1">IFERROR(__xludf.DUMMYFUNCTION("""COMPUTED_VALUE"""),"No")</f>
        <v>No</v>
      </c>
      <c r="S106" s="1" t="str">
        <f ca="1">IFERROR(__xludf.DUMMYFUNCTION("""COMPUTED_VALUE"""),"No")</f>
        <v>No</v>
      </c>
      <c r="T106" s="1" t="str">
        <f ca="1">IFERROR(__xludf.DUMMYFUNCTION("""COMPUTED_VALUE"""),"Yes")</f>
        <v>Yes</v>
      </c>
    </row>
    <row r="107" spans="1:20" ht="13" x14ac:dyDescent="0.6">
      <c r="A107" s="1" t="str">
        <f ca="1">IFERROR(__xludf.DUMMYFUNCTION("""COMPUTED_VALUE"""),"Calvert")</f>
        <v>Calvert</v>
      </c>
      <c r="B107" s="1" t="str">
        <f ca="1">IFERROR(__xludf.DUMMYFUNCTION("""COMPUTED_VALUE"""),"Lusby")</f>
        <v>Lusby</v>
      </c>
      <c r="C107" s="1" t="str">
        <f ca="1">IFERROR(__xludf.DUMMYFUNCTION("""COMPUTED_VALUE"""),"Walgreens Lusby")</f>
        <v>Walgreens Lusby</v>
      </c>
      <c r="D107" s="1" t="str">
        <f ca="1">IFERROR(__xludf.DUMMYFUNCTION("""COMPUTED_VALUE"""),"11745 Rousby Hall Rd Lusby MD 20657")</f>
        <v>11745 Rousby Hall Rd Lusby MD 20657</v>
      </c>
      <c r="E107" s="1" t="str">
        <f ca="1">IFERROR(__xludf.DUMMYFUNCTION("""COMPUTED_VALUE"""),"Yes")</f>
        <v>Yes</v>
      </c>
      <c r="F107" s="1" t="str">
        <f ca="1">IFERROR(__xludf.DUMMYFUNCTION("""COMPUTED_VALUE"""),"Pharmacy")</f>
        <v>Pharmacy</v>
      </c>
      <c r="G107" s="1"/>
      <c r="H107" s="1"/>
      <c r="I107" s="2" t="str">
        <f ca="1">IFERROR(__xludf.DUMMYFUNCTION("""COMPUTED_VALUE"""),"https://www.walgreens.com/schedulevaccine")</f>
        <v>https://www.walgreens.com/schedulevaccine</v>
      </c>
      <c r="J107" s="1"/>
      <c r="K107" s="1" t="str">
        <f ca="1">IFERROR(__xludf.DUMMYFUNCTION("""COMPUTED_VALUE"""),"1-800-WALGREENS")</f>
        <v>1-800-WALGREENS</v>
      </c>
      <c r="L107" s="1"/>
      <c r="M107" s="1" t="str">
        <f ca="1">IFERROR(__xludf.DUMMYFUNCTION("""COMPUTED_VALUE"""),"Schedule an appointment using the button below")</f>
        <v>Schedule an appointment using the button below</v>
      </c>
      <c r="N107" s="1"/>
      <c r="O107" s="1" t="str">
        <f ca="1">IFERROR(__xludf.DUMMYFUNCTION("""COMPUTED_VALUE"""),"Yes")</f>
        <v>Yes</v>
      </c>
      <c r="P107" s="1" t="str">
        <f ca="1">IFERROR(__xludf.DUMMYFUNCTION("""COMPUTED_VALUE"""),"20657")</f>
        <v>20657</v>
      </c>
      <c r="Q107" s="1" t="str">
        <f ca="1">IFERROR(__xludf.DUMMYFUNCTION("""COMPUTED_VALUE"""),"Yes")</f>
        <v>Yes</v>
      </c>
      <c r="R107" s="1" t="str">
        <f ca="1">IFERROR(__xludf.DUMMYFUNCTION("""COMPUTED_VALUE"""),"No")</f>
        <v>No</v>
      </c>
      <c r="S107" s="1" t="str">
        <f ca="1">IFERROR(__xludf.DUMMYFUNCTION("""COMPUTED_VALUE"""),"No")</f>
        <v>No</v>
      </c>
      <c r="T107" s="1" t="str">
        <f ca="1">IFERROR(__xludf.DUMMYFUNCTION("""COMPUTED_VALUE"""),"Yes")</f>
        <v>Yes</v>
      </c>
    </row>
    <row r="108" spans="1:20" ht="13" x14ac:dyDescent="0.6">
      <c r="A108" s="1" t="str">
        <f ca="1">IFERROR(__xludf.DUMMYFUNCTION("""COMPUTED_VALUE"""),"Calvert")</f>
        <v>Calvert</v>
      </c>
      <c r="B108" s="1" t="str">
        <f ca="1">IFERROR(__xludf.DUMMYFUNCTION("""COMPUTED_VALUE"""),"Lusby")</f>
        <v>Lusby</v>
      </c>
      <c r="C108" s="1" t="str">
        <f ca="1">IFERROR(__xludf.DUMMYFUNCTION("""COMPUTED_VALUE"""),"Weis Pharmacy #284")</f>
        <v>Weis Pharmacy #284</v>
      </c>
      <c r="D108" s="1" t="str">
        <f ca="1">IFERROR(__xludf.DUMMYFUNCTION("""COMPUTED_VALUE"""),"210 H G Trueman Rd Lusby, MD 20657")</f>
        <v>210 H G Trueman Rd Lusby, MD 20657</v>
      </c>
      <c r="E108" s="1" t="str">
        <f ca="1">IFERROR(__xludf.DUMMYFUNCTION("""COMPUTED_VALUE"""),"Yes")</f>
        <v>Yes</v>
      </c>
      <c r="F108" s="1" t="str">
        <f ca="1">IFERROR(__xludf.DUMMYFUNCTION("""COMPUTED_VALUE"""),"Pharmacy")</f>
        <v>Pharmacy</v>
      </c>
      <c r="G108" s="1"/>
      <c r="H108" s="1"/>
      <c r="I108" s="2" t="str">
        <f ca="1">IFERROR(__xludf.DUMMYFUNCTION("""COMPUTED_VALUE"""),"https://www.weismarkets.com/pharmacy-services")</f>
        <v>https://www.weismarkets.com/pharmacy-services</v>
      </c>
      <c r="J108" s="1"/>
      <c r="K108" s="1"/>
      <c r="L108" s="1"/>
      <c r="M108" s="1" t="str">
        <f ca="1">IFERROR(__xludf.DUMMYFUNCTION("""COMPUTED_VALUE"""),"Schedule an appointment using the button below")</f>
        <v>Schedule an appointment using the button below</v>
      </c>
      <c r="N108" s="1"/>
      <c r="O108" s="1" t="str">
        <f ca="1">IFERROR(__xludf.DUMMYFUNCTION("""COMPUTED_VALUE"""),"Yes")</f>
        <v>Yes</v>
      </c>
      <c r="P108" s="1" t="str">
        <f ca="1">IFERROR(__xludf.DUMMYFUNCTION("""COMPUTED_VALUE"""),"20657")</f>
        <v>20657</v>
      </c>
      <c r="Q108" s="1" t="str">
        <f ca="1">IFERROR(__xludf.DUMMYFUNCTION("""COMPUTED_VALUE"""),"No")</f>
        <v>No</v>
      </c>
      <c r="R108" s="1" t="str">
        <f ca="1">IFERROR(__xludf.DUMMYFUNCTION("""COMPUTED_VALUE"""),"No")</f>
        <v>No</v>
      </c>
      <c r="S108" s="1" t="str">
        <f ca="1">IFERROR(__xludf.DUMMYFUNCTION("""COMPUTED_VALUE"""),"No")</f>
        <v>No</v>
      </c>
      <c r="T108" s="1" t="str">
        <f ca="1">IFERROR(__xludf.DUMMYFUNCTION("""COMPUTED_VALUE"""),"Yes")</f>
        <v>Yes</v>
      </c>
    </row>
    <row r="109" spans="1:20" ht="13" x14ac:dyDescent="0.6">
      <c r="A109" s="1" t="str">
        <f ca="1">IFERROR(__xludf.DUMMYFUNCTION("""COMPUTED_VALUE"""),"Calvert")</f>
        <v>Calvert</v>
      </c>
      <c r="B109" s="1" t="str">
        <f ca="1">IFERROR(__xludf.DUMMYFUNCTION("""COMPUTED_VALUE"""),"Prince Frederick")</f>
        <v>Prince Frederick</v>
      </c>
      <c r="C109" s="1" t="str">
        <f ca="1">IFERROR(__xludf.DUMMYFUNCTION("""COMPUTED_VALUE"""),"Giant Food Prince Frederick")</f>
        <v>Giant Food Prince Frederick</v>
      </c>
      <c r="D109" s="1" t="str">
        <f ca="1">IFERROR(__xludf.DUMMYFUNCTION("""COMPUTED_VALUE"""),"655 Solomons Island Rd N Prince Frederick, MD 20678")</f>
        <v>655 Solomons Island Rd N Prince Frederick, MD 20678</v>
      </c>
      <c r="E109" s="1" t="str">
        <f ca="1">IFERROR(__xludf.DUMMYFUNCTION("""COMPUTED_VALUE"""),"Yes")</f>
        <v>Yes</v>
      </c>
      <c r="F109" s="1" t="str">
        <f ca="1">IFERROR(__xludf.DUMMYFUNCTION("""COMPUTED_VALUE"""),"Pharmacy")</f>
        <v>Pharmacy</v>
      </c>
      <c r="G109" s="1"/>
      <c r="H109" s="1" t="str">
        <f ca="1">IFERROR(__xludf.DUMMYFUNCTION("""COMPUTED_VALUE"""),"Sun 10am - 5pm, Mon - Fri 8am - 9pm, Sat 9am - 6pm")</f>
        <v>Sun 10am - 5pm, Mon - Fri 8am - 9pm, Sat 9am - 6pm</v>
      </c>
      <c r="I109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09" s="1"/>
      <c r="K109" s="1" t="str">
        <f ca="1">IFERROR(__xludf.DUMMYFUNCTION("""COMPUTED_VALUE"""),"410-535-5974")</f>
        <v>410-535-5974</v>
      </c>
      <c r="L109" s="1"/>
      <c r="M109" s="1" t="str">
        <f ca="1">IFERROR(__xludf.DUMMYFUNCTION("""COMPUTED_VALUE"""),"Schedule an appointment using the button below")</f>
        <v>Schedule an appointment using the button below</v>
      </c>
      <c r="N109" s="1"/>
      <c r="O109" s="1" t="str">
        <f ca="1">IFERROR(__xludf.DUMMYFUNCTION("""COMPUTED_VALUE"""),"Yes")</f>
        <v>Yes</v>
      </c>
      <c r="P109" s="1" t="str">
        <f ca="1">IFERROR(__xludf.DUMMYFUNCTION("""COMPUTED_VALUE"""),"20678")</f>
        <v>20678</v>
      </c>
      <c r="Q109" s="1" t="str">
        <f ca="1">IFERROR(__xludf.DUMMYFUNCTION("""COMPUTED_VALUE"""),"Yes")</f>
        <v>Yes</v>
      </c>
      <c r="R109" s="1" t="str">
        <f ca="1">IFERROR(__xludf.DUMMYFUNCTION("""COMPUTED_VALUE"""),"Yes")</f>
        <v>Yes</v>
      </c>
      <c r="S109" s="1" t="str">
        <f ca="1">IFERROR(__xludf.DUMMYFUNCTION("""COMPUTED_VALUE"""),"No")</f>
        <v>No</v>
      </c>
      <c r="T109" s="1" t="str">
        <f ca="1">IFERROR(__xludf.DUMMYFUNCTION("""COMPUTED_VALUE"""),"Yes")</f>
        <v>Yes</v>
      </c>
    </row>
    <row r="110" spans="1:20" ht="13" x14ac:dyDescent="0.6">
      <c r="A110" s="1" t="str">
        <f ca="1">IFERROR(__xludf.DUMMYFUNCTION("""COMPUTED_VALUE"""),"Calvert")</f>
        <v>Calvert</v>
      </c>
      <c r="B110" s="1" t="str">
        <f ca="1">IFERROR(__xludf.DUMMYFUNCTION("""COMPUTED_VALUE"""),"Prince Frederick")</f>
        <v>Prince Frederick</v>
      </c>
      <c r="C110" s="1" t="str">
        <f ca="1">IFERROR(__xludf.DUMMYFUNCTION("""COMPUTED_VALUE"""),"Walmart Prince Frederick")</f>
        <v>Walmart Prince Frederick</v>
      </c>
      <c r="D110" s="1" t="str">
        <f ca="1">IFERROR(__xludf.DUMMYFUNCTION("""COMPUTED_VALUE"""),"150 Solomons Island Rd N Prince Frederick, MD 20678")</f>
        <v>150 Solomons Island Rd N Prince Frederick, MD 20678</v>
      </c>
      <c r="E110" s="1" t="str">
        <f ca="1">IFERROR(__xludf.DUMMYFUNCTION("""COMPUTED_VALUE"""),"Yes")</f>
        <v>Yes</v>
      </c>
      <c r="F110" s="1" t="str">
        <f ca="1">IFERROR(__xludf.DUMMYFUNCTION("""COMPUTED_VALUE"""),"Pharmacy")</f>
        <v>Pharmacy</v>
      </c>
      <c r="G110" s="1"/>
      <c r="H110" s="1"/>
      <c r="I110" s="2" t="str">
        <f ca="1">IFERROR(__xludf.DUMMYFUNCTION("""COMPUTED_VALUE"""),"https://walmart.com/covidvaccine")</f>
        <v>https://walmart.com/covidvaccine</v>
      </c>
      <c r="J110" s="1"/>
      <c r="K110" s="1" t="str">
        <f ca="1">IFERROR(__xludf.DUMMYFUNCTION("""COMPUTED_VALUE"""),"410-535-5552")</f>
        <v>410-535-5552</v>
      </c>
      <c r="L110" s="1"/>
      <c r="M110" s="1" t="str">
        <f ca="1">IFERROR(__xludf.DUMMYFUNCTION("""COMPUTED_VALUE"""),"Schedule an appointment using the button below")</f>
        <v>Schedule an appointment using the button below</v>
      </c>
      <c r="N110" s="1"/>
      <c r="O110" s="1"/>
      <c r="P110" s="1" t="str">
        <f ca="1">IFERROR(__xludf.DUMMYFUNCTION("""COMPUTED_VALUE"""),"20678")</f>
        <v>20678</v>
      </c>
      <c r="Q110" s="1" t="str">
        <f ca="1">IFERROR(__xludf.DUMMYFUNCTION("""COMPUTED_VALUE"""),"No")</f>
        <v>No</v>
      </c>
      <c r="R110" s="1" t="str">
        <f ca="1">IFERROR(__xludf.DUMMYFUNCTION("""COMPUTED_VALUE"""),"Yes")</f>
        <v>Yes</v>
      </c>
      <c r="S110" s="1" t="str">
        <f ca="1">IFERROR(__xludf.DUMMYFUNCTION("""COMPUTED_VALUE"""),"No")</f>
        <v>No</v>
      </c>
      <c r="T110" s="1" t="str">
        <f ca="1">IFERROR(__xludf.DUMMYFUNCTION("""COMPUTED_VALUE"""),"Yes")</f>
        <v>Yes</v>
      </c>
    </row>
    <row r="111" spans="1:20" ht="13" x14ac:dyDescent="0.6">
      <c r="A111" s="1" t="str">
        <f ca="1">IFERROR(__xludf.DUMMYFUNCTION("""COMPUTED_VALUE"""),"Calvert")</f>
        <v>Calvert</v>
      </c>
      <c r="B111" s="1" t="str">
        <f ca="1">IFERROR(__xludf.DUMMYFUNCTION("""COMPUTED_VALUE"""),"Dunkirk")</f>
        <v>Dunkirk</v>
      </c>
      <c r="C111" s="1" t="str">
        <f ca="1">IFERROR(__xludf.DUMMYFUNCTION("""COMPUTED_VALUE"""),"Walmart Dunkirk")</f>
        <v>Walmart Dunkirk</v>
      </c>
      <c r="D111" s="1" t="str">
        <f ca="1">IFERROR(__xludf.DUMMYFUNCTION("""COMPUTED_VALUE"""),"10600 Town Center Blvd Dunkirk, MD 20754")</f>
        <v>10600 Town Center Blvd Dunkirk, MD 20754</v>
      </c>
      <c r="E111" s="1" t="str">
        <f ca="1">IFERROR(__xludf.DUMMYFUNCTION("""COMPUTED_VALUE"""),"Yes")</f>
        <v>Yes</v>
      </c>
      <c r="F111" s="1" t="str">
        <f ca="1">IFERROR(__xludf.DUMMYFUNCTION("""COMPUTED_VALUE"""),"Pharmacy")</f>
        <v>Pharmacy</v>
      </c>
      <c r="G111" s="1"/>
      <c r="H111" s="1"/>
      <c r="I111" s="2" t="str">
        <f ca="1">IFERROR(__xludf.DUMMYFUNCTION("""COMPUTED_VALUE"""),"https://walmart.com/covidvaccine")</f>
        <v>https://walmart.com/covidvaccine</v>
      </c>
      <c r="J111" s="1"/>
      <c r="K111" s="1" t="str">
        <f ca="1">IFERROR(__xludf.DUMMYFUNCTION("""COMPUTED_VALUE"""),"410-257-2913")</f>
        <v>410-257-2913</v>
      </c>
      <c r="L111" s="1"/>
      <c r="M111" s="1" t="str">
        <f ca="1">IFERROR(__xludf.DUMMYFUNCTION("""COMPUTED_VALUE"""),"Schedule an appointment using the button below")</f>
        <v>Schedule an appointment using the button below</v>
      </c>
      <c r="N111" s="1"/>
      <c r="O111" s="1"/>
      <c r="P111" s="1" t="str">
        <f ca="1">IFERROR(__xludf.DUMMYFUNCTION("""COMPUTED_VALUE"""),"20754")</f>
        <v>20754</v>
      </c>
      <c r="Q111" s="1" t="str">
        <f ca="1">IFERROR(__xludf.DUMMYFUNCTION("""COMPUTED_VALUE"""),"No")</f>
        <v>No</v>
      </c>
      <c r="R111" s="1" t="str">
        <f ca="1">IFERROR(__xludf.DUMMYFUNCTION("""COMPUTED_VALUE"""),"Yes")</f>
        <v>Yes</v>
      </c>
      <c r="S111" s="1" t="str">
        <f ca="1">IFERROR(__xludf.DUMMYFUNCTION("""COMPUTED_VALUE"""),"Yes")</f>
        <v>Yes</v>
      </c>
      <c r="T111" s="1" t="str">
        <f ca="1">IFERROR(__xludf.DUMMYFUNCTION("""COMPUTED_VALUE"""),"Yes")</f>
        <v>Yes</v>
      </c>
    </row>
    <row r="112" spans="1:20" ht="13" x14ac:dyDescent="0.6">
      <c r="A112" s="1" t="str">
        <f ca="1">IFERROR(__xludf.DUMMYFUNCTION("""COMPUTED_VALUE"""),"Calvert")</f>
        <v>Calvert</v>
      </c>
      <c r="B112" s="1" t="str">
        <f ca="1">IFERROR(__xludf.DUMMYFUNCTION("""COMPUTED_VALUE"""),"Lusby")</f>
        <v>Lusby</v>
      </c>
      <c r="C112" s="1" t="str">
        <f ca="1">IFERROR(__xludf.DUMMYFUNCTION("""COMPUTED_VALUE"""),"Lusby Pharmacy")</f>
        <v>Lusby Pharmacy</v>
      </c>
      <c r="D112" s="1" t="str">
        <f ca="1">IFERROR(__xludf.DUMMYFUNCTION("""COMPUTED_VALUE"""),"11870 H G Trueman Road, Lusby, MD 20657")</f>
        <v>11870 H G Trueman Road, Lusby, MD 20657</v>
      </c>
      <c r="E112" s="1" t="str">
        <f ca="1">IFERROR(__xludf.DUMMYFUNCTION("""COMPUTED_VALUE"""),"Yes")</f>
        <v>Yes</v>
      </c>
      <c r="F112" s="1" t="str">
        <f ca="1">IFERROR(__xludf.DUMMYFUNCTION("""COMPUTED_VALUE"""),"Pharmacy")</f>
        <v>Pharmacy</v>
      </c>
      <c r="G112" s="2" t="str">
        <f ca="1">IFERROR(__xludf.DUMMYFUNCTION("""COMPUTED_VALUE"""),"https://www.lusbypharmacyrx.com/")</f>
        <v>https://www.lusbypharmacyrx.com/</v>
      </c>
      <c r="H112" s="1"/>
      <c r="I112" s="2" t="str">
        <f ca="1">IFERROR(__xludf.DUMMYFUNCTION("""COMPUTED_VALUE"""),"https://scheduling.bestrxconnect.com/Covid19")</f>
        <v>https://scheduling.bestrxconnect.com/Covid19</v>
      </c>
      <c r="J112" s="1"/>
      <c r="K112" s="1" t="str">
        <f ca="1">IFERROR(__xludf.DUMMYFUNCTION("""COMPUTED_VALUE"""),"443-342-8209")</f>
        <v>443-342-8209</v>
      </c>
      <c r="L112" s="1"/>
      <c r="M112" s="1" t="str">
        <f ca="1">IFERROR(__xludf.DUMMYFUNCTION("""COMPUTED_VALUE"""),"Schedule an appointment using the button below")</f>
        <v>Schedule an appointment using the button below</v>
      </c>
      <c r="N112" s="1"/>
      <c r="O112" s="1"/>
      <c r="P112" s="1" t="str">
        <f ca="1">IFERROR(__xludf.DUMMYFUNCTION("""COMPUTED_VALUE"""),"20657")</f>
        <v>20657</v>
      </c>
      <c r="Q112" s="1" t="str">
        <f ca="1">IFERROR(__xludf.DUMMYFUNCTION("""COMPUTED_VALUE"""),"No")</f>
        <v>No</v>
      </c>
      <c r="R112" s="1" t="str">
        <f ca="1">IFERROR(__xludf.DUMMYFUNCTION("""COMPUTED_VALUE"""),"Yes")</f>
        <v>Yes</v>
      </c>
      <c r="S112" s="1" t="str">
        <f ca="1">IFERROR(__xludf.DUMMYFUNCTION("""COMPUTED_VALUE"""),"Yes")</f>
        <v>Yes</v>
      </c>
      <c r="T112" s="1" t="str">
        <f ca="1">IFERROR(__xludf.DUMMYFUNCTION("""COMPUTED_VALUE"""),"Yes")</f>
        <v>Yes</v>
      </c>
    </row>
    <row r="113" spans="1:20" ht="13" x14ac:dyDescent="0.6">
      <c r="A113" s="1" t="str">
        <f ca="1">IFERROR(__xludf.DUMMYFUNCTION("""COMPUTED_VALUE"""),"Caroline")</f>
        <v>Caroline</v>
      </c>
      <c r="B113" s="1" t="str">
        <f ca="1">IFERROR(__xludf.DUMMYFUNCTION("""COMPUTED_VALUE"""),"Denton")</f>
        <v>Denton</v>
      </c>
      <c r="C113" s="1" t="str">
        <f ca="1">IFERROR(__xludf.DUMMYFUNCTION("""COMPUTED_VALUE"""),"Walmart Denton")</f>
        <v>Walmart Denton</v>
      </c>
      <c r="D113" s="1" t="str">
        <f ca="1">IFERROR(__xludf.DUMMYFUNCTION("""COMPUTED_VALUE"""),"610 Legion Rd Denton MD 21629-2040")</f>
        <v>610 Legion Rd Denton MD 21629-2040</v>
      </c>
      <c r="E113" s="1" t="str">
        <f ca="1">IFERROR(__xludf.DUMMYFUNCTION("""COMPUTED_VALUE"""),"Yes")</f>
        <v>Yes</v>
      </c>
      <c r="F113" s="1" t="str">
        <f ca="1">IFERROR(__xludf.DUMMYFUNCTION("""COMPUTED_VALUE"""),"Pharmacy")</f>
        <v>Pharmacy</v>
      </c>
      <c r="G113" s="1"/>
      <c r="H113" s="1"/>
      <c r="I113" s="2" t="str">
        <f ca="1">IFERROR(__xludf.DUMMYFUNCTION("""COMPUTED_VALUE"""),"https://walmart.com/covidvaccine")</f>
        <v>https://walmart.com/covidvaccine</v>
      </c>
      <c r="J113" s="1"/>
      <c r="K113" s="1" t="str">
        <f ca="1">IFERROR(__xludf.DUMMYFUNCTION("""COMPUTED_VALUE"""),"410-479-0758")</f>
        <v>410-479-0758</v>
      </c>
      <c r="L113" s="1"/>
      <c r="M113" s="1" t="str">
        <f ca="1">IFERROR(__xludf.DUMMYFUNCTION("""COMPUTED_VALUE"""),"Schedule an appointment using the button below")</f>
        <v>Schedule an appointment using the button below</v>
      </c>
      <c r="N113" s="1"/>
      <c r="O113" s="1"/>
      <c r="P113" s="1" t="str">
        <f ca="1">IFERROR(__xludf.DUMMYFUNCTION("""COMPUTED_VALUE"""),"-2040")</f>
        <v>-2040</v>
      </c>
      <c r="Q113" s="1" t="str">
        <f ca="1">IFERROR(__xludf.DUMMYFUNCTION("""COMPUTED_VALUE"""),"Yes")</f>
        <v>Yes</v>
      </c>
      <c r="R113" s="1" t="str">
        <f ca="1">IFERROR(__xludf.DUMMYFUNCTION("""COMPUTED_VALUE"""),"Yes")</f>
        <v>Yes</v>
      </c>
      <c r="S113" s="1" t="str">
        <f ca="1">IFERROR(__xludf.DUMMYFUNCTION("""COMPUTED_VALUE"""),"No")</f>
        <v>No</v>
      </c>
      <c r="T113" s="1" t="str">
        <f ca="1">IFERROR(__xludf.DUMMYFUNCTION("""COMPUTED_VALUE"""),"Yes")</f>
        <v>Yes</v>
      </c>
    </row>
    <row r="114" spans="1:20" ht="13" x14ac:dyDescent="0.6">
      <c r="A114" s="1" t="str">
        <f ca="1">IFERROR(__xludf.DUMMYFUNCTION("""COMPUTED_VALUE"""),"Caroline")</f>
        <v>Caroline</v>
      </c>
      <c r="B114" s="1" t="str">
        <f ca="1">IFERROR(__xludf.DUMMYFUNCTION("""COMPUTED_VALUE"""),"Federalsburg")</f>
        <v>Federalsburg</v>
      </c>
      <c r="C114" s="1" t="str">
        <f ca="1">IFERROR(__xludf.DUMMYFUNCTION("""COMPUTED_VALUE"""),"Cantners Drug Store")</f>
        <v>Cantners Drug Store</v>
      </c>
      <c r="D114" s="1" t="str">
        <f ca="1">IFERROR(__xludf.DUMMYFUNCTION("""COMPUTED_VALUE"""),"323 Bloomingdale Avenue Federalsburg MD 21632")</f>
        <v>323 Bloomingdale Avenue Federalsburg MD 21632</v>
      </c>
      <c r="E114" s="1" t="str">
        <f ca="1">IFERROR(__xludf.DUMMYFUNCTION("""COMPUTED_VALUE"""),"Yes")</f>
        <v>Yes</v>
      </c>
      <c r="F114" s="1" t="str">
        <f ca="1">IFERROR(__xludf.DUMMYFUNCTION("""COMPUTED_VALUE"""),"Pharmacy")</f>
        <v>Pharmacy</v>
      </c>
      <c r="G114" s="1"/>
      <c r="H114" s="1"/>
      <c r="I114" s="1"/>
      <c r="J114" s="1"/>
      <c r="K114" s="1" t="str">
        <f ca="1">IFERROR(__xludf.DUMMYFUNCTION("""COMPUTED_VALUE"""),"410-754-5200")</f>
        <v>410-754-5200</v>
      </c>
      <c r="L114" s="1"/>
      <c r="M114" s="1" t="str">
        <f ca="1">IFERROR(__xludf.DUMMYFUNCTION("""COMPUTED_VALUE"""),"Call the number below to schedule an appointment")</f>
        <v>Call the number below to schedule an appointment</v>
      </c>
      <c r="N114" s="1"/>
      <c r="O114" s="1"/>
      <c r="P114" s="1" t="str">
        <f ca="1">IFERROR(__xludf.DUMMYFUNCTION("""COMPUTED_VALUE"""),"21632")</f>
        <v>21632</v>
      </c>
      <c r="Q114" s="1" t="str">
        <f ca="1">IFERROR(__xludf.DUMMYFUNCTION("""COMPUTED_VALUE"""),"Yes")</f>
        <v>Yes</v>
      </c>
      <c r="R114" s="1" t="str">
        <f ca="1">IFERROR(__xludf.DUMMYFUNCTION("""COMPUTED_VALUE"""),"Yes")</f>
        <v>Yes</v>
      </c>
      <c r="S114" s="1" t="str">
        <f ca="1">IFERROR(__xludf.DUMMYFUNCTION("""COMPUTED_VALUE"""),"Yes")</f>
        <v>Yes</v>
      </c>
      <c r="T114" s="1" t="str">
        <f ca="1">IFERROR(__xludf.DUMMYFUNCTION("""COMPUTED_VALUE"""),"Yes")</f>
        <v>Yes</v>
      </c>
    </row>
    <row r="115" spans="1:20" ht="13" x14ac:dyDescent="0.6">
      <c r="A115" s="1" t="str">
        <f ca="1">IFERROR(__xludf.DUMMYFUNCTION("""COMPUTED_VALUE"""),"Carroll")</f>
        <v>Carroll</v>
      </c>
      <c r="B115" s="1" t="str">
        <f ca="1">IFERROR(__xludf.DUMMYFUNCTION("""COMPUTED_VALUE"""),"Westminster")</f>
        <v>Westminster</v>
      </c>
      <c r="C115" s="1" t="str">
        <f ca="1">IFERROR(__xludf.DUMMYFUNCTION("""COMPUTED_VALUE"""),"Walgreens Westminster")</f>
        <v>Walgreens Westminster</v>
      </c>
      <c r="D115" s="1" t="str">
        <f ca="1">IFERROR(__xludf.DUMMYFUNCTION("""COMPUTED_VALUE"""),"500 Meadow Creek Dr, Westminster, MD 21158")</f>
        <v>500 Meadow Creek Dr, Westminster, MD 21158</v>
      </c>
      <c r="E115" s="1" t="str">
        <f ca="1">IFERROR(__xludf.DUMMYFUNCTION("""COMPUTED_VALUE"""),"Yes")</f>
        <v>Yes</v>
      </c>
      <c r="F115" s="1" t="str">
        <f ca="1">IFERROR(__xludf.DUMMYFUNCTION("""COMPUTED_VALUE"""),"Pharmacy")</f>
        <v>Pharmacy</v>
      </c>
      <c r="G115" s="1"/>
      <c r="H115" s="1"/>
      <c r="I115" s="2" t="str">
        <f ca="1">IFERROR(__xludf.DUMMYFUNCTION("""COMPUTED_VALUE"""),"https://www.walgreens.com/schedulevaccine")</f>
        <v>https://www.walgreens.com/schedulevaccine</v>
      </c>
      <c r="J115" s="1"/>
      <c r="K115" s="1" t="str">
        <f ca="1">IFERROR(__xludf.DUMMYFUNCTION("""COMPUTED_VALUE"""),"1-800-WALGREENS")</f>
        <v>1-800-WALGREENS</v>
      </c>
      <c r="L115" s="1"/>
      <c r="M115" s="1" t="str">
        <f ca="1">IFERROR(__xludf.DUMMYFUNCTION("""COMPUTED_VALUE"""),"Schedule an appointment using the button below")</f>
        <v>Schedule an appointment using the button below</v>
      </c>
      <c r="N115" s="1"/>
      <c r="O115" s="1"/>
      <c r="P115" s="1" t="str">
        <f ca="1">IFERROR(__xludf.DUMMYFUNCTION("""COMPUTED_VALUE"""),"21158")</f>
        <v>21158</v>
      </c>
      <c r="Q115" s="1" t="str">
        <f ca="1">IFERROR(__xludf.DUMMYFUNCTION("""COMPUTED_VALUE"""),"Yes")</f>
        <v>Yes</v>
      </c>
      <c r="R115" s="1" t="str">
        <f ca="1">IFERROR(__xludf.DUMMYFUNCTION("""COMPUTED_VALUE"""),"No")</f>
        <v>No</v>
      </c>
      <c r="S115" s="1" t="str">
        <f ca="1">IFERROR(__xludf.DUMMYFUNCTION("""COMPUTED_VALUE"""),"No")</f>
        <v>No</v>
      </c>
      <c r="T115" s="1" t="str">
        <f ca="1">IFERROR(__xludf.DUMMYFUNCTION("""COMPUTED_VALUE"""),"Yes")</f>
        <v>Yes</v>
      </c>
    </row>
    <row r="116" spans="1:20" ht="13" x14ac:dyDescent="0.6">
      <c r="A116" s="1" t="str">
        <f ca="1">IFERROR(__xludf.DUMMYFUNCTION("""COMPUTED_VALUE"""),"Carroll")</f>
        <v>Carroll</v>
      </c>
      <c r="B116" s="1" t="str">
        <f ca="1">IFERROR(__xludf.DUMMYFUNCTION("""COMPUTED_VALUE"""),"Westminster")</f>
        <v>Westminster</v>
      </c>
      <c r="C116" s="1" t="str">
        <f ca="1">IFERROR(__xludf.DUMMYFUNCTION("""COMPUTED_VALUE"""),"Walmart Westminster")</f>
        <v>Walmart Westminster</v>
      </c>
      <c r="D116" s="1" t="str">
        <f ca="1">IFERROR(__xludf.DUMMYFUNCTION("""COMPUTED_VALUE"""),"280 Woodward Rd Westminster MD 21157")</f>
        <v>280 Woodward Rd Westminster MD 21157</v>
      </c>
      <c r="E116" s="1" t="str">
        <f ca="1">IFERROR(__xludf.DUMMYFUNCTION("""COMPUTED_VALUE"""),"Yes")</f>
        <v>Yes</v>
      </c>
      <c r="F116" s="1" t="str">
        <f ca="1">IFERROR(__xludf.DUMMYFUNCTION("""COMPUTED_VALUE"""),"Pharmacy")</f>
        <v>Pharmacy</v>
      </c>
      <c r="G116" s="1"/>
      <c r="H116" s="1"/>
      <c r="I116" s="2" t="str">
        <f ca="1">IFERROR(__xludf.DUMMYFUNCTION("""COMPUTED_VALUE"""),"https://walmart.com/covidvaccine")</f>
        <v>https://walmart.com/covidvaccine</v>
      </c>
      <c r="J116" s="1"/>
      <c r="K116" s="1" t="str">
        <f ca="1">IFERROR(__xludf.DUMMYFUNCTION("""COMPUTED_VALUE"""),"410-857-9703")</f>
        <v>410-857-9703</v>
      </c>
      <c r="L116" s="1"/>
      <c r="M116" s="1" t="str">
        <f ca="1">IFERROR(__xludf.DUMMYFUNCTION("""COMPUTED_VALUE"""),"Schedule an appointment using the button below")</f>
        <v>Schedule an appointment using the button below</v>
      </c>
      <c r="N116" s="1"/>
      <c r="O116" s="1" t="str">
        <f ca="1">IFERROR(__xludf.DUMMYFUNCTION("""COMPUTED_VALUE"""),"Yes")</f>
        <v>Yes</v>
      </c>
      <c r="P116" s="1" t="str">
        <f ca="1">IFERROR(__xludf.DUMMYFUNCTION("""COMPUTED_VALUE"""),"21157")</f>
        <v>21157</v>
      </c>
      <c r="Q116" s="1" t="str">
        <f ca="1">IFERROR(__xludf.DUMMYFUNCTION("""COMPUTED_VALUE"""),"Yes")</f>
        <v>Yes</v>
      </c>
      <c r="R116" s="1" t="str">
        <f ca="1">IFERROR(__xludf.DUMMYFUNCTION("""COMPUTED_VALUE"""),"No")</f>
        <v>No</v>
      </c>
      <c r="S116" s="1" t="str">
        <f ca="1">IFERROR(__xludf.DUMMYFUNCTION("""COMPUTED_VALUE"""),"No")</f>
        <v>No</v>
      </c>
      <c r="T116" s="1" t="str">
        <f ca="1">IFERROR(__xludf.DUMMYFUNCTION("""COMPUTED_VALUE"""),"Yes")</f>
        <v>Yes</v>
      </c>
    </row>
    <row r="117" spans="1:20" ht="13" x14ac:dyDescent="0.6">
      <c r="A117" s="1" t="str">
        <f ca="1">IFERROR(__xludf.DUMMYFUNCTION("""COMPUTED_VALUE"""),"Carroll")</f>
        <v>Carroll</v>
      </c>
      <c r="B117" s="1" t="str">
        <f ca="1">IFERROR(__xludf.DUMMYFUNCTION("""COMPUTED_VALUE"""),"Sykesville")</f>
        <v>Sykesville</v>
      </c>
      <c r="C117" s="1" t="str">
        <f ca="1">IFERROR(__xludf.DUMMYFUNCTION("""COMPUTED_VALUE"""),"Walmart Sykesville")</f>
        <v>Walmart Sykesville</v>
      </c>
      <c r="D117" s="1" t="str">
        <f ca="1">IFERROR(__xludf.DUMMYFUNCTION("""COMPUTED_VALUE"""),"6400A Ridge Rd Ste 1 Sykesville MD 21784")</f>
        <v>6400A Ridge Rd Ste 1 Sykesville MD 21784</v>
      </c>
      <c r="E117" s="1" t="str">
        <f ca="1">IFERROR(__xludf.DUMMYFUNCTION("""COMPUTED_VALUE"""),"Yes")</f>
        <v>Yes</v>
      </c>
      <c r="F117" s="1" t="str">
        <f ca="1">IFERROR(__xludf.DUMMYFUNCTION("""COMPUTED_VALUE"""),"Pharmacy")</f>
        <v>Pharmacy</v>
      </c>
      <c r="G117" s="1"/>
      <c r="H117" s="1"/>
      <c r="I117" s="2" t="str">
        <f ca="1">IFERROR(__xludf.DUMMYFUNCTION("""COMPUTED_VALUE"""),"https://walmart.com/covidvaccine")</f>
        <v>https://walmart.com/covidvaccine</v>
      </c>
      <c r="J117" s="1"/>
      <c r="K117" s="1" t="str">
        <f ca="1">IFERROR(__xludf.DUMMYFUNCTION("""COMPUTED_VALUE"""),"410-549-5491")</f>
        <v>410-549-5491</v>
      </c>
      <c r="L117" s="1"/>
      <c r="M117" s="1" t="str">
        <f ca="1">IFERROR(__xludf.DUMMYFUNCTION("""COMPUTED_VALUE"""),"Schedule an appointment using the button below")</f>
        <v>Schedule an appointment using the button below</v>
      </c>
      <c r="N117" s="1"/>
      <c r="O117" s="1" t="str">
        <f ca="1">IFERROR(__xludf.DUMMYFUNCTION("""COMPUTED_VALUE"""),"Yes")</f>
        <v>Yes</v>
      </c>
      <c r="P117" s="1" t="str">
        <f ca="1">IFERROR(__xludf.DUMMYFUNCTION("""COMPUTED_VALUE"""),"21784")</f>
        <v>21784</v>
      </c>
      <c r="Q117" s="1" t="str">
        <f ca="1">IFERROR(__xludf.DUMMYFUNCTION("""COMPUTED_VALUE"""),"No")</f>
        <v>No</v>
      </c>
      <c r="R117" s="1" t="str">
        <f ca="1">IFERROR(__xludf.DUMMYFUNCTION("""COMPUTED_VALUE"""),"No")</f>
        <v>No</v>
      </c>
      <c r="S117" s="1" t="str">
        <f ca="1">IFERROR(__xludf.DUMMYFUNCTION("""COMPUTED_VALUE"""),"No")</f>
        <v>No</v>
      </c>
      <c r="T117" s="1" t="str">
        <f ca="1">IFERROR(__xludf.DUMMYFUNCTION("""COMPUTED_VALUE"""),"Yes")</f>
        <v>Yes</v>
      </c>
    </row>
    <row r="118" spans="1:20" ht="13" x14ac:dyDescent="0.6">
      <c r="A118" s="1" t="str">
        <f ca="1">IFERROR(__xludf.DUMMYFUNCTION("""COMPUTED_VALUE"""),"Carroll")</f>
        <v>Carroll</v>
      </c>
      <c r="B118" s="1" t="str">
        <f ca="1">IFERROR(__xludf.DUMMYFUNCTION("""COMPUTED_VALUE"""),"Mt. Airy")</f>
        <v>Mt. Airy</v>
      </c>
      <c r="C118" s="1" t="str">
        <f ca="1">IFERROR(__xludf.DUMMYFUNCTION("""COMPUTED_VALUE"""),"Safeway Mt. Airy")</f>
        <v>Safeway Mt. Airy</v>
      </c>
      <c r="D118" s="1" t="str">
        <f ca="1">IFERROR(__xludf.DUMMYFUNCTION("""COMPUTED_VALUE"""),"337 East Ridgeville Blvd Mt. Airy MD 21771")</f>
        <v>337 East Ridgeville Blvd Mt. Airy MD 21771</v>
      </c>
      <c r="E118" s="1" t="str">
        <f ca="1">IFERROR(__xludf.DUMMYFUNCTION("""COMPUTED_VALUE"""),"Yes")</f>
        <v>Yes</v>
      </c>
      <c r="F118" s="1" t="str">
        <f ca="1">IFERROR(__xludf.DUMMYFUNCTION("""COMPUTED_VALUE"""),"Pharmacy")</f>
        <v>Pharmacy</v>
      </c>
      <c r="G118" s="1"/>
      <c r="H118" s="1"/>
      <c r="I118" s="2" t="str">
        <f ca="1">IFERROR(__xludf.DUMMYFUNCTION("""COMPUTED_VALUE"""),"https://www.safeway.com/covid-19")</f>
        <v>https://www.safeway.com/covid-19</v>
      </c>
      <c r="J118" s="1"/>
      <c r="K118" s="1"/>
      <c r="L118" s="1"/>
      <c r="M118" s="1" t="str">
        <f ca="1">IFERROR(__xludf.DUMMYFUNCTION("""COMPUTED_VALUE"""),"Schedule an appointment using the button below")</f>
        <v>Schedule an appointment using the button below</v>
      </c>
      <c r="N118" s="1"/>
      <c r="O118" s="1" t="str">
        <f ca="1">IFERROR(__xludf.DUMMYFUNCTION("""COMPUTED_VALUE"""),"Yes")</f>
        <v>Yes</v>
      </c>
      <c r="P118" s="1" t="str">
        <f ca="1">IFERROR(__xludf.DUMMYFUNCTION("""COMPUTED_VALUE"""),"21771")</f>
        <v>21771</v>
      </c>
      <c r="Q118" s="1" t="str">
        <f ca="1">IFERROR(__xludf.DUMMYFUNCTION("""COMPUTED_VALUE"""),"#N/A")</f>
        <v>#N/A</v>
      </c>
      <c r="R118" s="1" t="str">
        <f ca="1">IFERROR(__xludf.DUMMYFUNCTION("""COMPUTED_VALUE"""),"#N/A")</f>
        <v>#N/A</v>
      </c>
      <c r="S118" s="1" t="str">
        <f ca="1">IFERROR(__xludf.DUMMYFUNCTION("""COMPUTED_VALUE"""),"#N/A")</f>
        <v>#N/A</v>
      </c>
      <c r="T118" s="1" t="str">
        <f ca="1">IFERROR(__xludf.DUMMYFUNCTION("""COMPUTED_VALUE"""),"Yes")</f>
        <v>Yes</v>
      </c>
    </row>
    <row r="119" spans="1:20" ht="13" x14ac:dyDescent="0.6">
      <c r="A119" s="1" t="str">
        <f ca="1">IFERROR(__xludf.DUMMYFUNCTION("""COMPUTED_VALUE"""),"Carroll")</f>
        <v>Carroll</v>
      </c>
      <c r="B119" s="1" t="str">
        <f ca="1">IFERROR(__xludf.DUMMYFUNCTION("""COMPUTED_VALUE"""),"Finksburg")</f>
        <v>Finksburg</v>
      </c>
      <c r="C119" s="1" t="str">
        <f ca="1">IFERROR(__xludf.DUMMYFUNCTION("""COMPUTED_VALUE"""),"Finksburg Pharmacy")</f>
        <v>Finksburg Pharmacy</v>
      </c>
      <c r="D119" s="1" t="str">
        <f ca="1">IFERROR(__xludf.DUMMYFUNCTION("""COMPUTED_VALUE"""),"2027 Suffolk Road Suite 4 Finksburg MD 21048")</f>
        <v>2027 Suffolk Road Suite 4 Finksburg MD 21048</v>
      </c>
      <c r="E119" s="1" t="str">
        <f ca="1">IFERROR(__xludf.DUMMYFUNCTION("""COMPUTED_VALUE"""),"Yes")</f>
        <v>Yes</v>
      </c>
      <c r="F119" s="1" t="str">
        <f ca="1">IFERROR(__xludf.DUMMYFUNCTION("""COMPUTED_VALUE"""),"Pharmacy")</f>
        <v>Pharmacy</v>
      </c>
      <c r="G119" s="1"/>
      <c r="H119" s="1"/>
      <c r="I119" s="2" t="str">
        <f ca="1">IFERROR(__xludf.DUMMYFUNCTION("""COMPUTED_VALUE"""),"https://www.finksburgpharmacy.com/")</f>
        <v>https://www.finksburgpharmacy.com/</v>
      </c>
      <c r="J119" s="1"/>
      <c r="K119" s="1"/>
      <c r="L119" s="1"/>
      <c r="M119" s="1" t="str">
        <f ca="1">IFERROR(__xludf.DUMMYFUNCTION("""COMPUTED_VALUE"""),"Contact the site to schedule an appointment")</f>
        <v>Contact the site to schedule an appointment</v>
      </c>
      <c r="N119" s="1"/>
      <c r="O119" s="1"/>
      <c r="P119" s="1" t="str">
        <f ca="1">IFERROR(__xludf.DUMMYFUNCTION("""COMPUTED_VALUE"""),"21048")</f>
        <v>21048</v>
      </c>
      <c r="Q119" s="1" t="str">
        <f ca="1">IFERROR(__xludf.DUMMYFUNCTION("""COMPUTED_VALUE"""),"Yes")</f>
        <v>Yes</v>
      </c>
      <c r="R119" s="1" t="str">
        <f ca="1">IFERROR(__xludf.DUMMYFUNCTION("""COMPUTED_VALUE"""),"Yes")</f>
        <v>Yes</v>
      </c>
      <c r="S119" s="1" t="str">
        <f ca="1">IFERROR(__xludf.DUMMYFUNCTION("""COMPUTED_VALUE"""),"Yes")</f>
        <v>Yes</v>
      </c>
      <c r="T119" s="1" t="str">
        <f ca="1">IFERROR(__xludf.DUMMYFUNCTION("""COMPUTED_VALUE"""),"Yes")</f>
        <v>Yes</v>
      </c>
    </row>
    <row r="120" spans="1:20" ht="13" x14ac:dyDescent="0.6">
      <c r="A120" s="1" t="str">
        <f ca="1">IFERROR(__xludf.DUMMYFUNCTION("""COMPUTED_VALUE"""),"Carroll")</f>
        <v>Carroll</v>
      </c>
      <c r="B120" s="1" t="str">
        <f ca="1">IFERROR(__xludf.DUMMYFUNCTION("""COMPUTED_VALUE"""),"Manchester")</f>
        <v>Manchester</v>
      </c>
      <c r="C120" s="1" t="str">
        <f ca="1">IFERROR(__xludf.DUMMYFUNCTION("""COMPUTED_VALUE"""),"Manchester Pharmacy")</f>
        <v>Manchester Pharmacy</v>
      </c>
      <c r="D120" s="1" t="str">
        <f ca="1">IFERROR(__xludf.DUMMYFUNCTION("""COMPUTED_VALUE"""),"3321 Main Street Unit A1 Manchester MD 21102")</f>
        <v>3321 Main Street Unit A1 Manchester MD 21102</v>
      </c>
      <c r="E120" s="1" t="str">
        <f ca="1">IFERROR(__xludf.DUMMYFUNCTION("""COMPUTED_VALUE"""),"Yes")</f>
        <v>Yes</v>
      </c>
      <c r="F120" s="1" t="str">
        <f ca="1">IFERROR(__xludf.DUMMYFUNCTION("""COMPUTED_VALUE"""),"Pharmacy")</f>
        <v>Pharmacy</v>
      </c>
      <c r="G120" s="1"/>
      <c r="H120" s="1"/>
      <c r="I120" s="1"/>
      <c r="J120" s="1"/>
      <c r="K120" s="1" t="str">
        <f ca="1">IFERROR(__xludf.DUMMYFUNCTION("""COMPUTED_VALUE"""),"410-239-2300")</f>
        <v>410-239-2300</v>
      </c>
      <c r="L120" s="1"/>
      <c r="M120" s="1" t="str">
        <f ca="1">IFERROR(__xludf.DUMMYFUNCTION("""COMPUTED_VALUE"""),"Call the number below to schedule an appointment")</f>
        <v>Call the number below to schedule an appointment</v>
      </c>
      <c r="N120" s="1"/>
      <c r="O120" s="1"/>
      <c r="P120" s="1" t="str">
        <f ca="1">IFERROR(__xludf.DUMMYFUNCTION("""COMPUTED_VALUE"""),"21102")</f>
        <v>21102</v>
      </c>
      <c r="Q120" s="1" t="str">
        <f ca="1">IFERROR(__xludf.DUMMYFUNCTION("""COMPUTED_VALUE"""),"Yes")</f>
        <v>Yes</v>
      </c>
      <c r="R120" s="1" t="str">
        <f ca="1">IFERROR(__xludf.DUMMYFUNCTION("""COMPUTED_VALUE"""),"Yes")</f>
        <v>Yes</v>
      </c>
      <c r="S120" s="1" t="str">
        <f ca="1">IFERROR(__xludf.DUMMYFUNCTION("""COMPUTED_VALUE"""),"Yes")</f>
        <v>Yes</v>
      </c>
      <c r="T120" s="1" t="str">
        <f ca="1">IFERROR(__xludf.DUMMYFUNCTION("""COMPUTED_VALUE"""),"Yes")</f>
        <v>Yes</v>
      </c>
    </row>
    <row r="121" spans="1:20" ht="13" x14ac:dyDescent="0.6">
      <c r="A121" s="1" t="str">
        <f ca="1">IFERROR(__xludf.DUMMYFUNCTION("""COMPUTED_VALUE"""),"Carroll")</f>
        <v>Carroll</v>
      </c>
      <c r="B121" s="1" t="str">
        <f ca="1">IFERROR(__xludf.DUMMYFUNCTION("""COMPUTED_VALUE"""),"Westminster")</f>
        <v>Westminster</v>
      </c>
      <c r="C121" s="1" t="str">
        <f ca="1">IFERROR(__xludf.DUMMYFUNCTION("""COMPUTED_VALUE"""),"Weis Pharmacy #111")</f>
        <v>Weis Pharmacy #111</v>
      </c>
      <c r="D121" s="1" t="str">
        <f ca="1">IFERROR(__xludf.DUMMYFUNCTION("""COMPUTED_VALUE"""),"630 Baltimore Blvd Westminster, MD 21157")</f>
        <v>630 Baltimore Blvd Westminster, MD 21157</v>
      </c>
      <c r="E121" s="1" t="str">
        <f ca="1">IFERROR(__xludf.DUMMYFUNCTION("""COMPUTED_VALUE"""),"Yes")</f>
        <v>Yes</v>
      </c>
      <c r="F121" s="1" t="str">
        <f ca="1">IFERROR(__xludf.DUMMYFUNCTION("""COMPUTED_VALUE"""),"Pharmacy")</f>
        <v>Pharmacy</v>
      </c>
      <c r="G121" s="1"/>
      <c r="H121" s="1"/>
      <c r="I121" s="2" t="str">
        <f ca="1">IFERROR(__xludf.DUMMYFUNCTION("""COMPUTED_VALUE"""),"https://www.weismarkets.com/pharmacy-services")</f>
        <v>https://www.weismarkets.com/pharmacy-services</v>
      </c>
      <c r="J121" s="1"/>
      <c r="K121" s="1"/>
      <c r="L121" s="1"/>
      <c r="M121" s="1" t="str">
        <f ca="1">IFERROR(__xludf.DUMMYFUNCTION("""COMPUTED_VALUE"""),"Schedule an appointment using the button below")</f>
        <v>Schedule an appointment using the button below</v>
      </c>
      <c r="N121" s="1"/>
      <c r="O121" s="1" t="str">
        <f ca="1">IFERROR(__xludf.DUMMYFUNCTION("""COMPUTED_VALUE"""),"Yes")</f>
        <v>Yes</v>
      </c>
      <c r="P121" s="1" t="str">
        <f ca="1">IFERROR(__xludf.DUMMYFUNCTION("""COMPUTED_VALUE"""),"21157")</f>
        <v>21157</v>
      </c>
      <c r="Q121" s="1" t="str">
        <f ca="1">IFERROR(__xludf.DUMMYFUNCTION("""COMPUTED_VALUE"""),"Yes")</f>
        <v>Yes</v>
      </c>
      <c r="R121" s="1" t="str">
        <f ca="1">IFERROR(__xludf.DUMMYFUNCTION("""COMPUTED_VALUE"""),"Yes")</f>
        <v>Yes</v>
      </c>
      <c r="S121" s="1" t="str">
        <f ca="1">IFERROR(__xludf.DUMMYFUNCTION("""COMPUTED_VALUE"""),"Yes")</f>
        <v>Yes</v>
      </c>
      <c r="T121" s="1" t="str">
        <f ca="1">IFERROR(__xludf.DUMMYFUNCTION("""COMPUTED_VALUE"""),"Yes")</f>
        <v>Yes</v>
      </c>
    </row>
    <row r="122" spans="1:20" ht="13" x14ac:dyDescent="0.6">
      <c r="A122" s="1" t="str">
        <f ca="1">IFERROR(__xludf.DUMMYFUNCTION("""COMPUTED_VALUE"""),"Carroll")</f>
        <v>Carroll</v>
      </c>
      <c r="B122" s="1" t="str">
        <f ca="1">IFERROR(__xludf.DUMMYFUNCTION("""COMPUTED_VALUE"""),"Mount Airy")</f>
        <v>Mount Airy</v>
      </c>
      <c r="C122" s="1" t="str">
        <f ca="1">IFERROR(__xludf.DUMMYFUNCTION("""COMPUTED_VALUE"""),"Weis Pharmacy #119")</f>
        <v>Weis Pharmacy #119</v>
      </c>
      <c r="D122" s="1" t="str">
        <f ca="1">IFERROR(__xludf.DUMMYFUNCTION("""COMPUTED_VALUE"""),"1001 Twin Arch Road Mount Airy, MD 21771")</f>
        <v>1001 Twin Arch Road Mount Airy, MD 21771</v>
      </c>
      <c r="E122" s="1" t="str">
        <f ca="1">IFERROR(__xludf.DUMMYFUNCTION("""COMPUTED_VALUE"""),"Yes")</f>
        <v>Yes</v>
      </c>
      <c r="F122" s="1" t="str">
        <f ca="1">IFERROR(__xludf.DUMMYFUNCTION("""COMPUTED_VALUE"""),"Pharmacy")</f>
        <v>Pharmacy</v>
      </c>
      <c r="G122" s="1"/>
      <c r="H122" s="1"/>
      <c r="I122" s="2" t="str">
        <f ca="1">IFERROR(__xludf.DUMMYFUNCTION("""COMPUTED_VALUE"""),"https://www.weismarkets.com/pharmacy-services")</f>
        <v>https://www.weismarkets.com/pharmacy-services</v>
      </c>
      <c r="J122" s="1"/>
      <c r="K122" s="1"/>
      <c r="L122" s="1"/>
      <c r="M122" s="1" t="str">
        <f ca="1">IFERROR(__xludf.DUMMYFUNCTION("""COMPUTED_VALUE"""),"Schedule an appointment using the button below")</f>
        <v>Schedule an appointment using the button below</v>
      </c>
      <c r="N122" s="1"/>
      <c r="O122" s="1" t="str">
        <f ca="1">IFERROR(__xludf.DUMMYFUNCTION("""COMPUTED_VALUE"""),"Yes")</f>
        <v>Yes</v>
      </c>
      <c r="P122" s="1" t="str">
        <f ca="1">IFERROR(__xludf.DUMMYFUNCTION("""COMPUTED_VALUE"""),"21771")</f>
        <v>21771</v>
      </c>
      <c r="Q122" s="1" t="str">
        <f ca="1">IFERROR(__xludf.DUMMYFUNCTION("""COMPUTED_VALUE"""),"Yes")</f>
        <v>Yes</v>
      </c>
      <c r="R122" s="1" t="str">
        <f ca="1">IFERROR(__xludf.DUMMYFUNCTION("""COMPUTED_VALUE"""),"Yes")</f>
        <v>Yes</v>
      </c>
      <c r="S122" s="1" t="str">
        <f ca="1">IFERROR(__xludf.DUMMYFUNCTION("""COMPUTED_VALUE"""),"Yes")</f>
        <v>Yes</v>
      </c>
      <c r="T122" s="1" t="str">
        <f ca="1">IFERROR(__xludf.DUMMYFUNCTION("""COMPUTED_VALUE"""),"Yes")</f>
        <v>Yes</v>
      </c>
    </row>
    <row r="123" spans="1:20" ht="13" x14ac:dyDescent="0.6">
      <c r="A123" s="1" t="str">
        <f ca="1">IFERROR(__xludf.DUMMYFUNCTION("""COMPUTED_VALUE"""),"Carroll")</f>
        <v>Carroll</v>
      </c>
      <c r="B123" s="1" t="str">
        <f ca="1">IFERROR(__xludf.DUMMYFUNCTION("""COMPUTED_VALUE"""),"Hampstead")</f>
        <v>Hampstead</v>
      </c>
      <c r="C123" s="1" t="str">
        <f ca="1">IFERROR(__xludf.DUMMYFUNCTION("""COMPUTED_VALUE"""),"Walmart Hampstead")</f>
        <v>Walmart Hampstead</v>
      </c>
      <c r="D123" s="1" t="str">
        <f ca="1">IFERROR(__xludf.DUMMYFUNCTION("""COMPUTED_VALUE"""),"2320 Hanover Pike Hampstead, MD 21074")</f>
        <v>2320 Hanover Pike Hampstead, MD 21074</v>
      </c>
      <c r="E123" s="1" t="str">
        <f ca="1">IFERROR(__xludf.DUMMYFUNCTION("""COMPUTED_VALUE"""),"Yes")</f>
        <v>Yes</v>
      </c>
      <c r="F123" s="1" t="str">
        <f ca="1">IFERROR(__xludf.DUMMYFUNCTION("""COMPUTED_VALUE"""),"Pharmacy")</f>
        <v>Pharmacy</v>
      </c>
      <c r="G123" s="1"/>
      <c r="H123" s="1"/>
      <c r="I123" s="2" t="str">
        <f ca="1">IFERROR(__xludf.DUMMYFUNCTION("""COMPUTED_VALUE"""),"https://walmart.com/covidvaccine")</f>
        <v>https://walmart.com/covidvaccine</v>
      </c>
      <c r="J123" s="1"/>
      <c r="K123" s="1" t="str">
        <f ca="1">IFERROR(__xludf.DUMMYFUNCTION("""COMPUTED_VALUE"""),"410-374-0332")</f>
        <v>410-374-0332</v>
      </c>
      <c r="L123" s="1"/>
      <c r="M123" s="1" t="str">
        <f ca="1">IFERROR(__xludf.DUMMYFUNCTION("""COMPUTED_VALUE"""),"Schedule an appointment using the button below")</f>
        <v>Schedule an appointment using the button below</v>
      </c>
      <c r="N123" s="1"/>
      <c r="O123" s="1" t="str">
        <f ca="1">IFERROR(__xludf.DUMMYFUNCTION("""COMPUTED_VALUE"""),"Yes")</f>
        <v>Yes</v>
      </c>
      <c r="P123" s="1" t="str">
        <f ca="1">IFERROR(__xludf.DUMMYFUNCTION("""COMPUTED_VALUE"""),"21074")</f>
        <v>21074</v>
      </c>
      <c r="Q123" s="1" t="str">
        <f ca="1">IFERROR(__xludf.DUMMYFUNCTION("""COMPUTED_VALUE"""),"Yes")</f>
        <v>Yes</v>
      </c>
      <c r="R123" s="1" t="str">
        <f ca="1">IFERROR(__xludf.DUMMYFUNCTION("""COMPUTED_VALUE"""),"Yes")</f>
        <v>Yes</v>
      </c>
      <c r="S123" s="1" t="str">
        <f ca="1">IFERROR(__xludf.DUMMYFUNCTION("""COMPUTED_VALUE"""),"Yes")</f>
        <v>Yes</v>
      </c>
      <c r="T123" s="1" t="str">
        <f ca="1">IFERROR(__xludf.DUMMYFUNCTION("""COMPUTED_VALUE"""),"Yes")</f>
        <v>Yes</v>
      </c>
    </row>
    <row r="124" spans="1:20" ht="13" x14ac:dyDescent="0.6">
      <c r="A124" s="1" t="str">
        <f ca="1">IFERROR(__xludf.DUMMYFUNCTION("""COMPUTED_VALUE"""),"Carroll")</f>
        <v>Carroll</v>
      </c>
      <c r="B124" s="1" t="str">
        <f ca="1">IFERROR(__xludf.DUMMYFUNCTION("""COMPUTED_VALUE"""),"Hampstead")</f>
        <v>Hampstead</v>
      </c>
      <c r="C124" s="1" t="str">
        <f ca="1">IFERROR(__xludf.DUMMYFUNCTION("""COMPUTED_VALUE"""),"Weis Pharmacy Hampstead")</f>
        <v>Weis Pharmacy Hampstead</v>
      </c>
      <c r="D124" s="1" t="str">
        <f ca="1">IFERROR(__xludf.DUMMYFUNCTION("""COMPUTED_VALUE"""),"720 Hanover Pike Hampstead, MD 21074")</f>
        <v>720 Hanover Pike Hampstead, MD 21074</v>
      </c>
      <c r="E124" s="1" t="str">
        <f ca="1">IFERROR(__xludf.DUMMYFUNCTION("""COMPUTED_VALUE"""),"Yes")</f>
        <v>Yes</v>
      </c>
      <c r="F124" s="1" t="str">
        <f ca="1">IFERROR(__xludf.DUMMYFUNCTION("""COMPUTED_VALUE"""),"Pharmacy")</f>
        <v>Pharmacy</v>
      </c>
      <c r="G124" s="1"/>
      <c r="H124" s="1"/>
      <c r="I124" s="2" t="str">
        <f ca="1">IFERROR(__xludf.DUMMYFUNCTION("""COMPUTED_VALUE"""),"https://www.weismarkets.com/pharmacy-services")</f>
        <v>https://www.weismarkets.com/pharmacy-services</v>
      </c>
      <c r="J124" s="1"/>
      <c r="K124" s="1"/>
      <c r="L124" s="1"/>
      <c r="M124" s="1" t="str">
        <f ca="1">IFERROR(__xludf.DUMMYFUNCTION("""COMPUTED_VALUE"""),"Schedule an appointment using the button below")</f>
        <v>Schedule an appointment using the button below</v>
      </c>
      <c r="N124" s="1"/>
      <c r="O124" s="1" t="str">
        <f ca="1">IFERROR(__xludf.DUMMYFUNCTION("""COMPUTED_VALUE"""),"Yes")</f>
        <v>Yes</v>
      </c>
      <c r="P124" s="1" t="str">
        <f ca="1">IFERROR(__xludf.DUMMYFUNCTION("""COMPUTED_VALUE"""),"21074")</f>
        <v>21074</v>
      </c>
      <c r="Q124" s="1" t="str">
        <f ca="1">IFERROR(__xludf.DUMMYFUNCTION("""COMPUTED_VALUE"""),"Yes")</f>
        <v>Yes</v>
      </c>
      <c r="R124" s="1" t="str">
        <f ca="1">IFERROR(__xludf.DUMMYFUNCTION("""COMPUTED_VALUE"""),"Yes")</f>
        <v>Yes</v>
      </c>
      <c r="S124" s="1" t="str">
        <f ca="1">IFERROR(__xludf.DUMMYFUNCTION("""COMPUTED_VALUE"""),"Yes")</f>
        <v>Yes</v>
      </c>
      <c r="T124" s="1" t="str">
        <f ca="1">IFERROR(__xludf.DUMMYFUNCTION("""COMPUTED_VALUE"""),"Yes")</f>
        <v>Yes</v>
      </c>
    </row>
    <row r="125" spans="1:20" ht="13" x14ac:dyDescent="0.6">
      <c r="A125" s="1" t="str">
        <f ca="1">IFERROR(__xludf.DUMMYFUNCTION("""COMPUTED_VALUE"""),"Carroll")</f>
        <v>Carroll</v>
      </c>
      <c r="B125" s="1" t="str">
        <f ca="1">IFERROR(__xludf.DUMMYFUNCTION("""COMPUTED_VALUE"""),"Hampstead")</f>
        <v>Hampstead</v>
      </c>
      <c r="C125" s="1" t="str">
        <f ca="1">IFERROR(__xludf.DUMMYFUNCTION("""COMPUTED_VALUE"""),"Family Pharmacy of Hampstead")</f>
        <v>Family Pharmacy of Hampstead</v>
      </c>
      <c r="D125" s="1" t="str">
        <f ca="1">IFERROR(__xludf.DUMMYFUNCTION("""COMPUTED_VALUE"""),"907 S. Main St Hampstead, MD 21074")</f>
        <v>907 S. Main St Hampstead, MD 21074</v>
      </c>
      <c r="E125" s="1" t="str">
        <f ca="1">IFERROR(__xludf.DUMMYFUNCTION("""COMPUTED_VALUE"""),"Yes")</f>
        <v>Yes</v>
      </c>
      <c r="F125" s="1" t="str">
        <f ca="1">IFERROR(__xludf.DUMMYFUNCTION("""COMPUTED_VALUE"""),"Pharmacy")</f>
        <v>Pharmacy</v>
      </c>
      <c r="G125" s="2" t="str">
        <f ca="1">IFERROR(__xludf.DUMMYFUNCTION("""COMPUTED_VALUE"""),"https://www.familypharmacyofhampstead.com/")</f>
        <v>https://www.familypharmacyofhampstead.com/</v>
      </c>
      <c r="H125" s="1"/>
      <c r="I125" s="1"/>
      <c r="J125" s="1"/>
      <c r="K125" s="1" t="str">
        <f ca="1">IFERROR(__xludf.DUMMYFUNCTION("""COMPUTED_VALUE"""),"410-239-3100")</f>
        <v>410-239-3100</v>
      </c>
      <c r="L125" s="1"/>
      <c r="M125" s="1" t="str">
        <f ca="1">IFERROR(__xludf.DUMMYFUNCTION("""COMPUTED_VALUE"""),"Contact this location for more information")</f>
        <v>Contact this location for more information</v>
      </c>
      <c r="N125" s="1"/>
      <c r="O125" s="1"/>
      <c r="P125" s="1" t="str">
        <f ca="1">IFERROR(__xludf.DUMMYFUNCTION("""COMPUTED_VALUE"""),"21074")</f>
        <v>21074</v>
      </c>
      <c r="Q125" s="1" t="str">
        <f ca="1">IFERROR(__xludf.DUMMYFUNCTION("""COMPUTED_VALUE"""),"Yes")</f>
        <v>Yes</v>
      </c>
      <c r="R125" s="1" t="str">
        <f ca="1">IFERROR(__xludf.DUMMYFUNCTION("""COMPUTED_VALUE"""),"Yes")</f>
        <v>Yes</v>
      </c>
      <c r="S125" s="1" t="str">
        <f ca="1">IFERROR(__xludf.DUMMYFUNCTION("""COMPUTED_VALUE"""),"Yes")</f>
        <v>Yes</v>
      </c>
      <c r="T125" s="1" t="str">
        <f ca="1">IFERROR(__xludf.DUMMYFUNCTION("""COMPUTED_VALUE"""),"Yes")</f>
        <v>Yes</v>
      </c>
    </row>
    <row r="126" spans="1:20" ht="13" x14ac:dyDescent="0.6">
      <c r="A126" s="1" t="str">
        <f ca="1">IFERROR(__xludf.DUMMYFUNCTION("""COMPUTED_VALUE"""),"Cecil")</f>
        <v>Cecil</v>
      </c>
      <c r="B126" s="1" t="str">
        <f ca="1">IFERROR(__xludf.DUMMYFUNCTION("""COMPUTED_VALUE"""),"Elkton")</f>
        <v>Elkton</v>
      </c>
      <c r="C126" s="1" t="str">
        <f ca="1">IFERROR(__xludf.DUMMYFUNCTION("""COMPUTED_VALUE"""),"Walmart Elkton")</f>
        <v>Walmart Elkton</v>
      </c>
      <c r="D126" s="1" t="str">
        <f ca="1">IFERROR(__xludf.DUMMYFUNCTION("""COMPUTED_VALUE"""),"1000 E Pulaski Hwy Elkton MD 21921-6306")</f>
        <v>1000 E Pulaski Hwy Elkton MD 21921-6306</v>
      </c>
      <c r="E126" s="1" t="str">
        <f ca="1">IFERROR(__xludf.DUMMYFUNCTION("""COMPUTED_VALUE"""),"Yes")</f>
        <v>Yes</v>
      </c>
      <c r="F126" s="1" t="str">
        <f ca="1">IFERROR(__xludf.DUMMYFUNCTION("""COMPUTED_VALUE"""),"Pharmacy")</f>
        <v>Pharmacy</v>
      </c>
      <c r="G126" s="1"/>
      <c r="H126" s="1"/>
      <c r="I126" s="2" t="str">
        <f ca="1">IFERROR(__xludf.DUMMYFUNCTION("""COMPUTED_VALUE"""),"https://walmart.com/covidvaccine")</f>
        <v>https://walmart.com/covidvaccine</v>
      </c>
      <c r="J126" s="1"/>
      <c r="K126" s="1" t="str">
        <f ca="1">IFERROR(__xludf.DUMMYFUNCTION("""COMPUTED_VALUE"""),"410-398-1123")</f>
        <v>410-398-1123</v>
      </c>
      <c r="L126" s="1"/>
      <c r="M126" s="1" t="str">
        <f ca="1">IFERROR(__xludf.DUMMYFUNCTION("""COMPUTED_VALUE"""),"Schedule an appointment using the button below")</f>
        <v>Schedule an appointment using the button below</v>
      </c>
      <c r="N126" s="1"/>
      <c r="O126" s="1"/>
      <c r="P126" s="1" t="str">
        <f ca="1">IFERROR(__xludf.DUMMYFUNCTION("""COMPUTED_VALUE"""),"-6306")</f>
        <v>-6306</v>
      </c>
      <c r="Q126" s="1" t="str">
        <f ca="1">IFERROR(__xludf.DUMMYFUNCTION("""COMPUTED_VALUE"""),"Yes")</f>
        <v>Yes</v>
      </c>
      <c r="R126" s="1" t="str">
        <f ca="1">IFERROR(__xludf.DUMMYFUNCTION("""COMPUTED_VALUE"""),"Yes")</f>
        <v>Yes</v>
      </c>
      <c r="S126" s="1" t="str">
        <f ca="1">IFERROR(__xludf.DUMMYFUNCTION("""COMPUTED_VALUE"""),"No")</f>
        <v>No</v>
      </c>
      <c r="T126" s="1" t="str">
        <f ca="1">IFERROR(__xludf.DUMMYFUNCTION("""COMPUTED_VALUE"""),"Yes")</f>
        <v>Yes</v>
      </c>
    </row>
    <row r="127" spans="1:20" ht="13" x14ac:dyDescent="0.6">
      <c r="A127" s="1" t="str">
        <f ca="1">IFERROR(__xludf.DUMMYFUNCTION("""COMPUTED_VALUE"""),"Cecil")</f>
        <v>Cecil</v>
      </c>
      <c r="B127" s="1" t="str">
        <f ca="1">IFERROR(__xludf.DUMMYFUNCTION("""COMPUTED_VALUE"""),"Elkton")</f>
        <v>Elkton</v>
      </c>
      <c r="C127" s="1" t="str">
        <f ca="1">IFERROR(__xludf.DUMMYFUNCTION("""COMPUTED_VALUE"""),"Walgreens Elkton")</f>
        <v>Walgreens Elkton</v>
      </c>
      <c r="D127" s="1" t="str">
        <f ca="1">IFERROR(__xludf.DUMMYFUNCTION("""COMPUTED_VALUE"""),"301 E Pulaski Hwy Elkton MD 21921")</f>
        <v>301 E Pulaski Hwy Elkton MD 21921</v>
      </c>
      <c r="E127" s="1" t="str">
        <f ca="1">IFERROR(__xludf.DUMMYFUNCTION("""COMPUTED_VALUE"""),"Yes")</f>
        <v>Yes</v>
      </c>
      <c r="F127" s="1" t="str">
        <f ca="1">IFERROR(__xludf.DUMMYFUNCTION("""COMPUTED_VALUE"""),"Pharmacy")</f>
        <v>Pharmacy</v>
      </c>
      <c r="G127" s="1"/>
      <c r="H127" s="1"/>
      <c r="I127" s="2" t="str">
        <f ca="1">IFERROR(__xludf.DUMMYFUNCTION("""COMPUTED_VALUE"""),"https://www.walgreens.com/schedulevaccine")</f>
        <v>https://www.walgreens.com/schedulevaccine</v>
      </c>
      <c r="J127" s="1"/>
      <c r="K127" s="1" t="str">
        <f ca="1">IFERROR(__xludf.DUMMYFUNCTION("""COMPUTED_VALUE"""),"1-800-WALGREENS")</f>
        <v>1-800-WALGREENS</v>
      </c>
      <c r="L127" s="1"/>
      <c r="M127" s="1" t="str">
        <f ca="1">IFERROR(__xludf.DUMMYFUNCTION("""COMPUTED_VALUE"""),"Schedule an appointment using the button below")</f>
        <v>Schedule an appointment using the button below</v>
      </c>
      <c r="N127" s="1"/>
      <c r="O127" s="1"/>
      <c r="P127" s="1" t="str">
        <f ca="1">IFERROR(__xludf.DUMMYFUNCTION("""COMPUTED_VALUE"""),"21921")</f>
        <v>21921</v>
      </c>
      <c r="Q127" s="1" t="str">
        <f ca="1">IFERROR(__xludf.DUMMYFUNCTION("""COMPUTED_VALUE"""),"No")</f>
        <v>No</v>
      </c>
      <c r="R127" s="1" t="str">
        <f ca="1">IFERROR(__xludf.DUMMYFUNCTION("""COMPUTED_VALUE"""),"Yes")</f>
        <v>Yes</v>
      </c>
      <c r="S127" s="1" t="str">
        <f ca="1">IFERROR(__xludf.DUMMYFUNCTION("""COMPUTED_VALUE"""),"No")</f>
        <v>No</v>
      </c>
      <c r="T127" s="1" t="str">
        <f ca="1">IFERROR(__xludf.DUMMYFUNCTION("""COMPUTED_VALUE"""),"Yes")</f>
        <v>Yes</v>
      </c>
    </row>
    <row r="128" spans="1:20" ht="13" x14ac:dyDescent="0.6">
      <c r="A128" s="1" t="str">
        <f ca="1">IFERROR(__xludf.DUMMYFUNCTION("""COMPUTED_VALUE"""),"Cecil")</f>
        <v>Cecil</v>
      </c>
      <c r="B128" s="1" t="str">
        <f ca="1">IFERROR(__xludf.DUMMYFUNCTION("""COMPUTED_VALUE"""),"North East")</f>
        <v>North East</v>
      </c>
      <c r="C128" s="1" t="str">
        <f ca="1">IFERROR(__xludf.DUMMYFUNCTION("""COMPUTED_VALUE"""),"Walmart North East")</f>
        <v>Walmart North East</v>
      </c>
      <c r="D128" s="1" t="str">
        <f ca="1">IFERROR(__xludf.DUMMYFUNCTION("""COMPUTED_VALUE"""),"75 N East Plz North East, MD 21901")</f>
        <v>75 N East Plz North East, MD 21901</v>
      </c>
      <c r="E128" s="1" t="str">
        <f ca="1">IFERROR(__xludf.DUMMYFUNCTION("""COMPUTED_VALUE"""),"Yes")</f>
        <v>Yes</v>
      </c>
      <c r="F128" s="1" t="str">
        <f ca="1">IFERROR(__xludf.DUMMYFUNCTION("""COMPUTED_VALUE"""),"Pharmacy")</f>
        <v>Pharmacy</v>
      </c>
      <c r="G128" s="1"/>
      <c r="H128" s="1"/>
      <c r="I128" s="2" t="str">
        <f ca="1">IFERROR(__xludf.DUMMYFUNCTION("""COMPUTED_VALUE"""),"https://walmart.com/covidvaccine")</f>
        <v>https://walmart.com/covidvaccine</v>
      </c>
      <c r="J128" s="1"/>
      <c r="K128" s="1" t="str">
        <f ca="1">IFERROR(__xludf.DUMMYFUNCTION("""COMPUTED_VALUE"""),"410-287-3479")</f>
        <v>410-287-3479</v>
      </c>
      <c r="L128" s="1"/>
      <c r="M128" s="1" t="str">
        <f ca="1">IFERROR(__xludf.DUMMYFUNCTION("""COMPUTED_VALUE"""),"Schedule an appointment using the button below")</f>
        <v>Schedule an appointment using the button below</v>
      </c>
      <c r="N128" s="1"/>
      <c r="O128" s="1"/>
      <c r="P128" s="1" t="str">
        <f ca="1">IFERROR(__xludf.DUMMYFUNCTION("""COMPUTED_VALUE"""),"21901")</f>
        <v>21901</v>
      </c>
      <c r="Q128" s="1" t="str">
        <f ca="1">IFERROR(__xludf.DUMMYFUNCTION("""COMPUTED_VALUE"""),"Yes")</f>
        <v>Yes</v>
      </c>
      <c r="R128" s="1" t="str">
        <f ca="1">IFERROR(__xludf.DUMMYFUNCTION("""COMPUTED_VALUE"""),"Yes")</f>
        <v>Yes</v>
      </c>
      <c r="S128" s="1" t="str">
        <f ca="1">IFERROR(__xludf.DUMMYFUNCTION("""COMPUTED_VALUE"""),"Yes")</f>
        <v>Yes</v>
      </c>
      <c r="T128" s="1" t="str">
        <f ca="1">IFERROR(__xludf.DUMMYFUNCTION("""COMPUTED_VALUE"""),"Yes")</f>
        <v>Yes</v>
      </c>
    </row>
    <row r="129" spans="1:20" ht="13" x14ac:dyDescent="0.6">
      <c r="A129" s="1" t="str">
        <f ca="1">IFERROR(__xludf.DUMMYFUNCTION("""COMPUTED_VALUE"""),"Charles")</f>
        <v>Charles</v>
      </c>
      <c r="B129" s="1" t="str">
        <f ca="1">IFERROR(__xludf.DUMMYFUNCTION("""COMPUTED_VALUE"""),"Waldorf")</f>
        <v>Waldorf</v>
      </c>
      <c r="C129" s="1" t="str">
        <f ca="1">IFERROR(__xludf.DUMMYFUNCTION("""COMPUTED_VALUE"""),"Giant Food Waldorf")</f>
        <v>Giant Food Waldorf</v>
      </c>
      <c r="D129" s="1" t="str">
        <f ca="1">IFERROR(__xludf.DUMMYFUNCTION("""COMPUTED_VALUE"""),"3297 Plaza Way Waldorf MD 20603")</f>
        <v>3297 Plaza Way Waldorf MD 20603</v>
      </c>
      <c r="E129" s="1" t="str">
        <f ca="1">IFERROR(__xludf.DUMMYFUNCTION("""COMPUTED_VALUE"""),"Yes")</f>
        <v>Yes</v>
      </c>
      <c r="F129" s="1" t="str">
        <f ca="1">IFERROR(__xludf.DUMMYFUNCTION("""COMPUTED_VALUE"""),"Pharmacy")</f>
        <v>Pharmacy</v>
      </c>
      <c r="G129" s="1"/>
      <c r="H129" s="1"/>
      <c r="I129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29" s="1"/>
      <c r="K129" s="1" t="str">
        <f ca="1">IFERROR(__xludf.DUMMYFUNCTION("""COMPUTED_VALUE"""),"301-542-4200")</f>
        <v>301-542-4200</v>
      </c>
      <c r="L129" s="1"/>
      <c r="M129" s="1" t="str">
        <f ca="1">IFERROR(__xludf.DUMMYFUNCTION("""COMPUTED_VALUE"""),"Schedule an appointment using the button below")</f>
        <v>Schedule an appointment using the button below</v>
      </c>
      <c r="N129" s="1"/>
      <c r="O129" s="1" t="str">
        <f ca="1">IFERROR(__xludf.DUMMYFUNCTION("""COMPUTED_VALUE"""),"Yes")</f>
        <v>Yes</v>
      </c>
      <c r="P129" s="1" t="str">
        <f ca="1">IFERROR(__xludf.DUMMYFUNCTION("""COMPUTED_VALUE"""),"20603")</f>
        <v>20603</v>
      </c>
      <c r="Q129" s="1" t="str">
        <f ca="1">IFERROR(__xludf.DUMMYFUNCTION("""COMPUTED_VALUE"""),"No")</f>
        <v>No</v>
      </c>
      <c r="R129" s="1" t="str">
        <f ca="1">IFERROR(__xludf.DUMMYFUNCTION("""COMPUTED_VALUE"""),"No")</f>
        <v>No</v>
      </c>
      <c r="S129" s="1" t="str">
        <f ca="1">IFERROR(__xludf.DUMMYFUNCTION("""COMPUTED_VALUE"""),"No")</f>
        <v>No</v>
      </c>
      <c r="T129" s="1" t="str">
        <f ca="1">IFERROR(__xludf.DUMMYFUNCTION("""COMPUTED_VALUE"""),"Yes")</f>
        <v>Yes</v>
      </c>
    </row>
    <row r="130" spans="1:20" ht="13" x14ac:dyDescent="0.6">
      <c r="A130" s="1" t="str">
        <f ca="1">IFERROR(__xludf.DUMMYFUNCTION("""COMPUTED_VALUE"""),"Charles")</f>
        <v>Charles</v>
      </c>
      <c r="B130" s="1" t="str">
        <f ca="1">IFERROR(__xludf.DUMMYFUNCTION("""COMPUTED_VALUE"""),"La Plata")</f>
        <v>La Plata</v>
      </c>
      <c r="C130" s="1" t="str">
        <f ca="1">IFERROR(__xludf.DUMMYFUNCTION("""COMPUTED_VALUE"""),"Safeway La Plata")</f>
        <v>Safeway La Plata</v>
      </c>
      <c r="D130" s="1" t="str">
        <f ca="1">IFERROR(__xludf.DUMMYFUNCTION("""COMPUTED_VALUE"""),"40 Shining Willow Way La Plata, MD 20646")</f>
        <v>40 Shining Willow Way La Plata, MD 20646</v>
      </c>
      <c r="E130" s="1" t="str">
        <f ca="1">IFERROR(__xludf.DUMMYFUNCTION("""COMPUTED_VALUE"""),"Yes")</f>
        <v>Yes</v>
      </c>
      <c r="F130" s="1" t="str">
        <f ca="1">IFERROR(__xludf.DUMMYFUNCTION("""COMPUTED_VALUE"""),"Pharmacy")</f>
        <v>Pharmacy</v>
      </c>
      <c r="G130" s="1"/>
      <c r="H130" s="1"/>
      <c r="I130" s="2" t="str">
        <f ca="1">IFERROR(__xludf.DUMMYFUNCTION("""COMPUTED_VALUE"""),"https://mhealthsystem.com/covid1938")</f>
        <v>https://mhealthsystem.com/covid1938</v>
      </c>
      <c r="J130" s="1"/>
      <c r="K130" s="1"/>
      <c r="L130" s="1"/>
      <c r="M130" s="1" t="str">
        <f ca="1">IFERROR(__xludf.DUMMYFUNCTION("""COMPUTED_VALUE"""),"Schedule an appointment using the button below")</f>
        <v>Schedule an appointment using the button below</v>
      </c>
      <c r="N130" s="1"/>
      <c r="O130" s="1" t="str">
        <f ca="1">IFERROR(__xludf.DUMMYFUNCTION("""COMPUTED_VALUE"""),"Yes")</f>
        <v>Yes</v>
      </c>
      <c r="P130" s="1" t="str">
        <f ca="1">IFERROR(__xludf.DUMMYFUNCTION("""COMPUTED_VALUE"""),"20646")</f>
        <v>20646</v>
      </c>
      <c r="Q130" s="1" t="str">
        <f ca="1">IFERROR(__xludf.DUMMYFUNCTION("""COMPUTED_VALUE"""),"Yes")</f>
        <v>Yes</v>
      </c>
      <c r="R130" s="1" t="str">
        <f ca="1">IFERROR(__xludf.DUMMYFUNCTION("""COMPUTED_VALUE"""),"Yes")</f>
        <v>Yes</v>
      </c>
      <c r="S130" s="1" t="str">
        <f ca="1">IFERROR(__xludf.DUMMYFUNCTION("""COMPUTED_VALUE"""),"Yes")</f>
        <v>Yes</v>
      </c>
      <c r="T130" s="1" t="str">
        <f ca="1">IFERROR(__xludf.DUMMYFUNCTION("""COMPUTED_VALUE"""),"Yes")</f>
        <v>Yes</v>
      </c>
    </row>
    <row r="131" spans="1:20" ht="13" x14ac:dyDescent="0.6">
      <c r="A131" s="1" t="str">
        <f ca="1">IFERROR(__xludf.DUMMYFUNCTION("""COMPUTED_VALUE"""),"Charles")</f>
        <v>Charles</v>
      </c>
      <c r="B131" s="1" t="str">
        <f ca="1">IFERROR(__xludf.DUMMYFUNCTION("""COMPUTED_VALUE"""),"La Plata")</f>
        <v>La Plata</v>
      </c>
      <c r="C131" s="1" t="str">
        <f ca="1">IFERROR(__xludf.DUMMYFUNCTION("""COMPUTED_VALUE"""),"Walgreens La Plata")</f>
        <v>Walgreens La Plata</v>
      </c>
      <c r="D131" s="1" t="str">
        <f ca="1">IFERROR(__xludf.DUMMYFUNCTION("""COMPUTED_VALUE"""),"6300 Crain Hwy La Plata MD 20646")</f>
        <v>6300 Crain Hwy La Plata MD 20646</v>
      </c>
      <c r="E131" s="1" t="str">
        <f ca="1">IFERROR(__xludf.DUMMYFUNCTION("""COMPUTED_VALUE"""),"Yes")</f>
        <v>Yes</v>
      </c>
      <c r="F131" s="1" t="str">
        <f ca="1">IFERROR(__xludf.DUMMYFUNCTION("""COMPUTED_VALUE"""),"Pharmacy")</f>
        <v>Pharmacy</v>
      </c>
      <c r="G131" s="1"/>
      <c r="H131" s="1"/>
      <c r="I131" s="2" t="str">
        <f ca="1">IFERROR(__xludf.DUMMYFUNCTION("""COMPUTED_VALUE"""),"https://www.walgreens.com/schedulevaccine")</f>
        <v>https://www.walgreens.com/schedulevaccine</v>
      </c>
      <c r="J131" s="1"/>
      <c r="K131" s="1" t="str">
        <f ca="1">IFERROR(__xludf.DUMMYFUNCTION("""COMPUTED_VALUE"""),"1-800-WALGREENS")</f>
        <v>1-800-WALGREENS</v>
      </c>
      <c r="L131" s="1"/>
      <c r="M131" s="1" t="str">
        <f ca="1">IFERROR(__xludf.DUMMYFUNCTION("""COMPUTED_VALUE"""),"Schedule an appointment using the button below")</f>
        <v>Schedule an appointment using the button below</v>
      </c>
      <c r="N131" s="1"/>
      <c r="O131" s="1" t="str">
        <f ca="1">IFERROR(__xludf.DUMMYFUNCTION("""COMPUTED_VALUE"""),"Yes")</f>
        <v>Yes</v>
      </c>
      <c r="P131" s="1" t="str">
        <f ca="1">IFERROR(__xludf.DUMMYFUNCTION("""COMPUTED_VALUE"""),"20646")</f>
        <v>20646</v>
      </c>
      <c r="Q131" s="1" t="str">
        <f ca="1">IFERROR(__xludf.DUMMYFUNCTION("""COMPUTED_VALUE"""),"Yes")</f>
        <v>Yes</v>
      </c>
      <c r="R131" s="1" t="str">
        <f ca="1">IFERROR(__xludf.DUMMYFUNCTION("""COMPUTED_VALUE"""),"No")</f>
        <v>No</v>
      </c>
      <c r="S131" s="1" t="str">
        <f ca="1">IFERROR(__xludf.DUMMYFUNCTION("""COMPUTED_VALUE"""),"No")</f>
        <v>No</v>
      </c>
      <c r="T131" s="1" t="str">
        <f ca="1">IFERROR(__xludf.DUMMYFUNCTION("""COMPUTED_VALUE"""),"Yes")</f>
        <v>Yes</v>
      </c>
    </row>
    <row r="132" spans="1:20" ht="13" x14ac:dyDescent="0.6">
      <c r="A132" s="1" t="str">
        <f ca="1">IFERROR(__xludf.DUMMYFUNCTION("""COMPUTED_VALUE"""),"Charles")</f>
        <v>Charles</v>
      </c>
      <c r="B132" s="1" t="str">
        <f ca="1">IFERROR(__xludf.DUMMYFUNCTION("""COMPUTED_VALUE"""),"Waldorf")</f>
        <v>Waldorf</v>
      </c>
      <c r="C132" s="1" t="str">
        <f ca="1">IFERROR(__xludf.DUMMYFUNCTION("""COMPUTED_VALUE"""),"Walgreens Waldorf")</f>
        <v>Walgreens Waldorf</v>
      </c>
      <c r="D132" s="1" t="str">
        <f ca="1">IFERROR(__xludf.DUMMYFUNCTION("""COMPUTED_VALUE"""),"25 High St Waldorf MD 20602")</f>
        <v>25 High St Waldorf MD 20602</v>
      </c>
      <c r="E132" s="1" t="str">
        <f ca="1">IFERROR(__xludf.DUMMYFUNCTION("""COMPUTED_VALUE"""),"Yes")</f>
        <v>Yes</v>
      </c>
      <c r="F132" s="1" t="str">
        <f ca="1">IFERROR(__xludf.DUMMYFUNCTION("""COMPUTED_VALUE"""),"Pharmacy")</f>
        <v>Pharmacy</v>
      </c>
      <c r="G132" s="1"/>
      <c r="H132" s="1"/>
      <c r="I132" s="2" t="str">
        <f ca="1">IFERROR(__xludf.DUMMYFUNCTION("""COMPUTED_VALUE"""),"https://www.walgreens.com/schedulevaccine")</f>
        <v>https://www.walgreens.com/schedulevaccine</v>
      </c>
      <c r="J132" s="1"/>
      <c r="K132" s="1" t="str">
        <f ca="1">IFERROR(__xludf.DUMMYFUNCTION("""COMPUTED_VALUE"""),"1-800-WALGREENS")</f>
        <v>1-800-WALGREENS</v>
      </c>
      <c r="L132" s="1"/>
      <c r="M132" s="1" t="str">
        <f ca="1">IFERROR(__xludf.DUMMYFUNCTION("""COMPUTED_VALUE"""),"Schedule an appointment using the button below")</f>
        <v>Schedule an appointment using the button below</v>
      </c>
      <c r="N132" s="1"/>
      <c r="O132" s="1" t="str">
        <f ca="1">IFERROR(__xludf.DUMMYFUNCTION("""COMPUTED_VALUE"""),"Yes")</f>
        <v>Yes</v>
      </c>
      <c r="P132" s="1" t="str">
        <f ca="1">IFERROR(__xludf.DUMMYFUNCTION("""COMPUTED_VALUE"""),"20602")</f>
        <v>20602</v>
      </c>
      <c r="Q132" s="1" t="str">
        <f ca="1">IFERROR(__xludf.DUMMYFUNCTION("""COMPUTED_VALUE"""),"Yes")</f>
        <v>Yes</v>
      </c>
      <c r="R132" s="1" t="str">
        <f ca="1">IFERROR(__xludf.DUMMYFUNCTION("""COMPUTED_VALUE"""),"No")</f>
        <v>No</v>
      </c>
      <c r="S132" s="1" t="str">
        <f ca="1">IFERROR(__xludf.DUMMYFUNCTION("""COMPUTED_VALUE"""),"No")</f>
        <v>No</v>
      </c>
      <c r="T132" s="1" t="str">
        <f ca="1">IFERROR(__xludf.DUMMYFUNCTION("""COMPUTED_VALUE"""),"Yes")</f>
        <v>Yes</v>
      </c>
    </row>
    <row r="133" spans="1:20" ht="13" x14ac:dyDescent="0.6">
      <c r="A133" s="1" t="str">
        <f ca="1">IFERROR(__xludf.DUMMYFUNCTION("""COMPUTED_VALUE"""),"Charles")</f>
        <v>Charles</v>
      </c>
      <c r="B133" s="1" t="str">
        <f ca="1">IFERROR(__xludf.DUMMYFUNCTION("""COMPUTED_VALUE"""),"Waldorf")</f>
        <v>Waldorf</v>
      </c>
      <c r="C133" s="1" t="str">
        <f ca="1">IFERROR(__xludf.DUMMYFUNCTION("""COMPUTED_VALUE"""),"Walmart Waldorf")</f>
        <v>Walmart Waldorf</v>
      </c>
      <c r="D133" s="1" t="str">
        <f ca="1">IFERROR(__xludf.DUMMYFUNCTION("""COMPUTED_VALUE"""),"11930 Acton Ln Waldorf MD 20601")</f>
        <v>11930 Acton Ln Waldorf MD 20601</v>
      </c>
      <c r="E133" s="1" t="str">
        <f ca="1">IFERROR(__xludf.DUMMYFUNCTION("""COMPUTED_VALUE"""),"Yes")</f>
        <v>Yes</v>
      </c>
      <c r="F133" s="1" t="str">
        <f ca="1">IFERROR(__xludf.DUMMYFUNCTION("""COMPUTED_VALUE"""),"Pharmacy")</f>
        <v>Pharmacy</v>
      </c>
      <c r="G133" s="1"/>
      <c r="H133" s="1"/>
      <c r="I133" s="2" t="str">
        <f ca="1">IFERROR(__xludf.DUMMYFUNCTION("""COMPUTED_VALUE"""),"https://walmart.com/covidvaccine")</f>
        <v>https://walmart.com/covidvaccine</v>
      </c>
      <c r="J133" s="1"/>
      <c r="K133" s="1" t="str">
        <f ca="1">IFERROR(__xludf.DUMMYFUNCTION("""COMPUTED_VALUE"""),"301-705-7040")</f>
        <v>301-705-7040</v>
      </c>
      <c r="L133" s="1"/>
      <c r="M133" s="1" t="str">
        <f ca="1">IFERROR(__xludf.DUMMYFUNCTION("""COMPUTED_VALUE"""),"Schedule an appointment using the button below")</f>
        <v>Schedule an appointment using the button below</v>
      </c>
      <c r="N133" s="1"/>
      <c r="O133" s="1"/>
      <c r="P133" s="1" t="str">
        <f ca="1">IFERROR(__xludf.DUMMYFUNCTION("""COMPUTED_VALUE"""),"20601")</f>
        <v>20601</v>
      </c>
      <c r="Q133" s="1" t="str">
        <f ca="1">IFERROR(__xludf.DUMMYFUNCTION("""COMPUTED_VALUE"""),"No")</f>
        <v>No</v>
      </c>
      <c r="R133" s="1" t="str">
        <f ca="1">IFERROR(__xludf.DUMMYFUNCTION("""COMPUTED_VALUE"""),"Yes")</f>
        <v>Yes</v>
      </c>
      <c r="S133" s="1" t="str">
        <f ca="1">IFERROR(__xludf.DUMMYFUNCTION("""COMPUTED_VALUE"""),"Yes")</f>
        <v>Yes</v>
      </c>
      <c r="T133" s="1" t="str">
        <f ca="1">IFERROR(__xludf.DUMMYFUNCTION("""COMPUTED_VALUE"""),"Yes")</f>
        <v>Yes</v>
      </c>
    </row>
    <row r="134" spans="1:20" ht="13" x14ac:dyDescent="0.6">
      <c r="A134" s="1" t="str">
        <f ca="1">IFERROR(__xludf.DUMMYFUNCTION("""COMPUTED_VALUE"""),"Charles")</f>
        <v>Charles</v>
      </c>
      <c r="B134" s="1" t="str">
        <f ca="1">IFERROR(__xludf.DUMMYFUNCTION("""COMPUTED_VALUE"""),"La Plata")</f>
        <v>La Plata</v>
      </c>
      <c r="C134" s="1" t="str">
        <f ca="1">IFERROR(__xludf.DUMMYFUNCTION("""COMPUTED_VALUE"""),"Walmart La Plata")</f>
        <v>Walmart La Plata</v>
      </c>
      <c r="D134" s="1" t="str">
        <f ca="1">IFERROR(__xludf.DUMMYFUNCTION("""COMPUTED_VALUE"""),"40 Drury Dr La Plata, MD 20646")</f>
        <v>40 Drury Dr La Plata, MD 20646</v>
      </c>
      <c r="E134" s="1" t="str">
        <f ca="1">IFERROR(__xludf.DUMMYFUNCTION("""COMPUTED_VALUE"""),"Yes")</f>
        <v>Yes</v>
      </c>
      <c r="F134" s="1" t="str">
        <f ca="1">IFERROR(__xludf.DUMMYFUNCTION("""COMPUTED_VALUE"""),"Pharmacy")</f>
        <v>Pharmacy</v>
      </c>
      <c r="G134" s="1"/>
      <c r="H134" s="1"/>
      <c r="I134" s="2" t="str">
        <f ca="1">IFERROR(__xludf.DUMMYFUNCTION("""COMPUTED_VALUE"""),"https://walmart.com/covidvaccine")</f>
        <v>https://walmart.com/covidvaccine</v>
      </c>
      <c r="J134" s="1"/>
      <c r="K134" s="1" t="str">
        <f ca="1">IFERROR(__xludf.DUMMYFUNCTION("""COMPUTED_VALUE"""),"301-392-9106")</f>
        <v>301-392-9106</v>
      </c>
      <c r="L134" s="1"/>
      <c r="M134" s="1" t="str">
        <f ca="1">IFERROR(__xludf.DUMMYFUNCTION("""COMPUTED_VALUE"""),"Schedule an appointment using the button below")</f>
        <v>Schedule an appointment using the button below</v>
      </c>
      <c r="N134" s="1"/>
      <c r="O134" s="1"/>
      <c r="P134" s="1" t="str">
        <f ca="1">IFERROR(__xludf.DUMMYFUNCTION("""COMPUTED_VALUE"""),"20646")</f>
        <v>20646</v>
      </c>
      <c r="Q134" s="1" t="str">
        <f ca="1">IFERROR(__xludf.DUMMYFUNCTION("""COMPUTED_VALUE"""),"No")</f>
        <v>No</v>
      </c>
      <c r="R134" s="1" t="str">
        <f ca="1">IFERROR(__xludf.DUMMYFUNCTION("""COMPUTED_VALUE"""),"Yes")</f>
        <v>Yes</v>
      </c>
      <c r="S134" s="1" t="str">
        <f ca="1">IFERROR(__xludf.DUMMYFUNCTION("""COMPUTED_VALUE"""),"Yes")</f>
        <v>Yes</v>
      </c>
      <c r="T134" s="1" t="str">
        <f ca="1">IFERROR(__xludf.DUMMYFUNCTION("""COMPUTED_VALUE"""),"Yes")</f>
        <v>Yes</v>
      </c>
    </row>
    <row r="135" spans="1:20" ht="13" x14ac:dyDescent="0.6">
      <c r="A135" s="1" t="str">
        <f ca="1">IFERROR(__xludf.DUMMYFUNCTION("""COMPUTED_VALUE"""),"Charles")</f>
        <v>Charles</v>
      </c>
      <c r="B135" s="1" t="str">
        <f ca="1">IFERROR(__xludf.DUMMYFUNCTION("""COMPUTED_VALUE"""),"Bryans Road")</f>
        <v>Bryans Road</v>
      </c>
      <c r="C135" s="1" t="str">
        <f ca="1">IFERROR(__xludf.DUMMYFUNCTION("""COMPUTED_VALUE"""),"CVS Charles")</f>
        <v>CVS Charles</v>
      </c>
      <c r="D135" s="1" t="str">
        <f ca="1">IFERROR(__xludf.DUMMYFUNCTION("""COMPUTED_VALUE"""),"7035 Indian Head Hwy, Bryans Road, MD 20616")</f>
        <v>7035 Indian Head Hwy, Bryans Road, MD 20616</v>
      </c>
      <c r="E135" s="1" t="str">
        <f ca="1">IFERROR(__xludf.DUMMYFUNCTION("""COMPUTED_VALUE"""),"Yes")</f>
        <v>Yes</v>
      </c>
      <c r="F135" s="1" t="str">
        <f ca="1">IFERROR(__xludf.DUMMYFUNCTION("""COMPUTED_VALUE"""),"Pharmacy")</f>
        <v>Pharmacy</v>
      </c>
      <c r="G135" s="1"/>
      <c r="H135" s="1"/>
      <c r="I135" s="2" t="str">
        <f ca="1">IFERROR(__xludf.DUMMYFUNCTION("""COMPUTED_VALUE"""),"https://www.cvs.com/immunizations/covid-19-vaccine")</f>
        <v>https://www.cvs.com/immunizations/covid-19-vaccine</v>
      </c>
      <c r="J135" s="1" t="str">
        <f ca="1">IFERROR(__xludf.DUMMYFUNCTION("""COMPUTED_VALUE"""),"Yes")</f>
        <v>Yes</v>
      </c>
      <c r="K135" s="1" t="str">
        <f ca="1">IFERROR(__xludf.DUMMYFUNCTION("""COMPUTED_VALUE"""),"800-746-7287")</f>
        <v>800-746-7287</v>
      </c>
      <c r="L135" s="1"/>
      <c r="M135" s="1" t="str">
        <f ca="1">IFERROR(__xludf.DUMMYFUNCTION("""COMPUTED_VALUE"""),"Schedule an appointment using the button below")</f>
        <v>Schedule an appointment using the button below</v>
      </c>
      <c r="N135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35" s="1" t="str">
        <f ca="1">IFERROR(__xludf.DUMMYFUNCTION("""COMPUTED_VALUE"""),"Yes")</f>
        <v>Yes</v>
      </c>
      <c r="P135" s="1" t="str">
        <f ca="1">IFERROR(__xludf.DUMMYFUNCTION("""COMPUTED_VALUE"""),"20616")</f>
        <v>20616</v>
      </c>
      <c r="Q135" s="1" t="str">
        <f ca="1">IFERROR(__xludf.DUMMYFUNCTION("""COMPUTED_VALUE"""),"Yes")</f>
        <v>Yes</v>
      </c>
      <c r="R135" s="1" t="str">
        <f ca="1">IFERROR(__xludf.DUMMYFUNCTION("""COMPUTED_VALUE"""),"No")</f>
        <v>No</v>
      </c>
      <c r="S135" s="1" t="str">
        <f ca="1">IFERROR(__xludf.DUMMYFUNCTION("""COMPUTED_VALUE"""),"No")</f>
        <v>No</v>
      </c>
      <c r="T135" s="1" t="str">
        <f ca="1">IFERROR(__xludf.DUMMYFUNCTION("""COMPUTED_VALUE"""),"Yes")</f>
        <v>Yes</v>
      </c>
    </row>
    <row r="136" spans="1:20" ht="13" x14ac:dyDescent="0.6">
      <c r="A136" s="1" t="str">
        <f ca="1">IFERROR(__xludf.DUMMYFUNCTION("""COMPUTED_VALUE"""),"Charles")</f>
        <v>Charles</v>
      </c>
      <c r="B136" s="1" t="str">
        <f ca="1">IFERROR(__xludf.DUMMYFUNCTION("""COMPUTED_VALUE"""),"La Plata")</f>
        <v>La Plata</v>
      </c>
      <c r="C136" s="1" t="str">
        <f ca="1">IFERROR(__xludf.DUMMYFUNCTION("""COMPUTED_VALUE"""),"CVS La Plata")</f>
        <v>CVS La Plata</v>
      </c>
      <c r="D136" s="1" t="str">
        <f ca="1">IFERROR(__xludf.DUMMYFUNCTION("""COMPUTED_VALUE"""),"6260 Crain Hwy, La Plata MD 20646")</f>
        <v>6260 Crain Hwy, La Plata MD 20646</v>
      </c>
      <c r="E136" s="1" t="str">
        <f ca="1">IFERROR(__xludf.DUMMYFUNCTION("""COMPUTED_VALUE"""),"Yes")</f>
        <v>Yes</v>
      </c>
      <c r="F136" s="1" t="str">
        <f ca="1">IFERROR(__xludf.DUMMYFUNCTION("""COMPUTED_VALUE"""),"Pharmacy")</f>
        <v>Pharmacy</v>
      </c>
      <c r="G136" s="1"/>
      <c r="H136" s="1"/>
      <c r="I136" s="2" t="str">
        <f ca="1">IFERROR(__xludf.DUMMYFUNCTION("""COMPUTED_VALUE"""),"https://www.cvs.com/immunizations/covid-19-vaccine")</f>
        <v>https://www.cvs.com/immunizations/covid-19-vaccine</v>
      </c>
      <c r="J136" s="1" t="str">
        <f ca="1">IFERROR(__xludf.DUMMYFUNCTION("""COMPUTED_VALUE"""),"Yes")</f>
        <v>Yes</v>
      </c>
      <c r="K136" s="1" t="str">
        <f ca="1">IFERROR(__xludf.DUMMYFUNCTION("""COMPUTED_VALUE"""),"800-746-7287")</f>
        <v>800-746-7287</v>
      </c>
      <c r="L136" s="1"/>
      <c r="M136" s="1" t="str">
        <f ca="1">IFERROR(__xludf.DUMMYFUNCTION("""COMPUTED_VALUE"""),"Schedule an appointment using the button below")</f>
        <v>Schedule an appointment using the button below</v>
      </c>
      <c r="N136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36" s="1" t="str">
        <f ca="1">IFERROR(__xludf.DUMMYFUNCTION("""COMPUTED_VALUE"""),"Yes")</f>
        <v>Yes</v>
      </c>
      <c r="P136" s="1" t="str">
        <f ca="1">IFERROR(__xludf.DUMMYFUNCTION("""COMPUTED_VALUE"""),"20646")</f>
        <v>20646</v>
      </c>
      <c r="Q136" s="1" t="str">
        <f ca="1">IFERROR(__xludf.DUMMYFUNCTION("""COMPUTED_VALUE"""),"#N/A")</f>
        <v>#N/A</v>
      </c>
      <c r="R136" s="1" t="str">
        <f ca="1">IFERROR(__xludf.DUMMYFUNCTION("""COMPUTED_VALUE"""),"#N/A")</f>
        <v>#N/A</v>
      </c>
      <c r="S136" s="1" t="str">
        <f ca="1">IFERROR(__xludf.DUMMYFUNCTION("""COMPUTED_VALUE"""),"#N/A")</f>
        <v>#N/A</v>
      </c>
      <c r="T136" s="1" t="str">
        <f ca="1">IFERROR(__xludf.DUMMYFUNCTION("""COMPUTED_VALUE"""),"Yes")</f>
        <v>Yes</v>
      </c>
    </row>
    <row r="137" spans="1:20" ht="13" x14ac:dyDescent="0.6">
      <c r="A137" s="1" t="str">
        <f ca="1">IFERROR(__xludf.DUMMYFUNCTION("""COMPUTED_VALUE"""),"Dorchester")</f>
        <v>Dorchester</v>
      </c>
      <c r="B137" s="1" t="str">
        <f ca="1">IFERROR(__xludf.DUMMYFUNCTION("""COMPUTED_VALUE"""),"Cambridge")</f>
        <v>Cambridge</v>
      </c>
      <c r="C137" s="1" t="str">
        <f ca="1">IFERROR(__xludf.DUMMYFUNCTION("""COMPUTED_VALUE"""),"Walmart Cambridge")</f>
        <v>Walmart Cambridge</v>
      </c>
      <c r="D137" s="1" t="str">
        <f ca="1">IFERROR(__xludf.DUMMYFUNCTION("""COMPUTED_VALUE"""),"2775 Dorchester Sq Cambridge MD 21613-6400")</f>
        <v>2775 Dorchester Sq Cambridge MD 21613-6400</v>
      </c>
      <c r="E137" s="1" t="str">
        <f ca="1">IFERROR(__xludf.DUMMYFUNCTION("""COMPUTED_VALUE"""),"Yes")</f>
        <v>Yes</v>
      </c>
      <c r="F137" s="1" t="str">
        <f ca="1">IFERROR(__xludf.DUMMYFUNCTION("""COMPUTED_VALUE"""),"Pharmacy")</f>
        <v>Pharmacy</v>
      </c>
      <c r="G137" s="1"/>
      <c r="H137" s="1"/>
      <c r="I137" s="2" t="str">
        <f ca="1">IFERROR(__xludf.DUMMYFUNCTION("""COMPUTED_VALUE"""),"https://walmart.com/covidvaccine")</f>
        <v>https://walmart.com/covidvaccine</v>
      </c>
      <c r="J137" s="1"/>
      <c r="K137" s="1" t="str">
        <f ca="1">IFERROR(__xludf.DUMMYFUNCTION("""COMPUTED_VALUE"""),"410-221-0388")</f>
        <v>410-221-0388</v>
      </c>
      <c r="L137" s="1"/>
      <c r="M137" s="1" t="str">
        <f ca="1">IFERROR(__xludf.DUMMYFUNCTION("""COMPUTED_VALUE"""),"Schedule an appointment using the button below")</f>
        <v>Schedule an appointment using the button below</v>
      </c>
      <c r="N137" s="1"/>
      <c r="O137" s="1"/>
      <c r="P137" s="1" t="str">
        <f ca="1">IFERROR(__xludf.DUMMYFUNCTION("""COMPUTED_VALUE"""),"-6400")</f>
        <v>-6400</v>
      </c>
      <c r="Q137" s="1" t="str">
        <f ca="1">IFERROR(__xludf.DUMMYFUNCTION("""COMPUTED_VALUE"""),"Yes")</f>
        <v>Yes</v>
      </c>
      <c r="R137" s="1" t="str">
        <f ca="1">IFERROR(__xludf.DUMMYFUNCTION("""COMPUTED_VALUE"""),"Yes")</f>
        <v>Yes</v>
      </c>
      <c r="S137" s="1" t="str">
        <f ca="1">IFERROR(__xludf.DUMMYFUNCTION("""COMPUTED_VALUE"""),"No")</f>
        <v>No</v>
      </c>
      <c r="T137" s="1" t="str">
        <f ca="1">IFERROR(__xludf.DUMMYFUNCTION("""COMPUTED_VALUE"""),"Yes")</f>
        <v>Yes</v>
      </c>
    </row>
    <row r="138" spans="1:20" ht="13" x14ac:dyDescent="0.6">
      <c r="A138" s="1" t="str">
        <f ca="1">IFERROR(__xludf.DUMMYFUNCTION("""COMPUTED_VALUE"""),"Dorchester")</f>
        <v>Dorchester</v>
      </c>
      <c r="B138" s="1" t="str">
        <f ca="1">IFERROR(__xludf.DUMMYFUNCTION("""COMPUTED_VALUE"""),"Cambridge")</f>
        <v>Cambridge</v>
      </c>
      <c r="C138" s="1" t="str">
        <f ca="1">IFERROR(__xludf.DUMMYFUNCTION("""COMPUTED_VALUE"""),"Walgreens Cambridge")</f>
        <v>Walgreens Cambridge</v>
      </c>
      <c r="D138" s="1" t="str">
        <f ca="1">IFERROR(__xludf.DUMMYFUNCTION("""COMPUTED_VALUE"""),"640 Sunburst Hwy Cambridge MD 21613")</f>
        <v>640 Sunburst Hwy Cambridge MD 21613</v>
      </c>
      <c r="E138" s="1" t="str">
        <f ca="1">IFERROR(__xludf.DUMMYFUNCTION("""COMPUTED_VALUE"""),"Yes")</f>
        <v>Yes</v>
      </c>
      <c r="F138" s="1" t="str">
        <f ca="1">IFERROR(__xludf.DUMMYFUNCTION("""COMPUTED_VALUE"""),"Pharmacy")</f>
        <v>Pharmacy</v>
      </c>
      <c r="G138" s="1"/>
      <c r="H138" s="1"/>
      <c r="I138" s="2" t="str">
        <f ca="1">IFERROR(__xludf.DUMMYFUNCTION("""COMPUTED_VALUE"""),"https://www.walgreens.com/schedulevaccine")</f>
        <v>https://www.walgreens.com/schedulevaccine</v>
      </c>
      <c r="J138" s="1"/>
      <c r="K138" s="1" t="str">
        <f ca="1">IFERROR(__xludf.DUMMYFUNCTION("""COMPUTED_VALUE"""),"1-800-WALGREENS")</f>
        <v>1-800-WALGREENS</v>
      </c>
      <c r="L138" s="1"/>
      <c r="M138" s="1" t="str">
        <f ca="1">IFERROR(__xludf.DUMMYFUNCTION("""COMPUTED_VALUE"""),"Schedule an appointment using the button below")</f>
        <v>Schedule an appointment using the button below</v>
      </c>
      <c r="N138" s="1"/>
      <c r="O138" s="1"/>
      <c r="P138" s="1" t="str">
        <f ca="1">IFERROR(__xludf.DUMMYFUNCTION("""COMPUTED_VALUE"""),"21613")</f>
        <v>21613</v>
      </c>
      <c r="Q138" s="1" t="str">
        <f ca="1">IFERROR(__xludf.DUMMYFUNCTION("""COMPUTED_VALUE"""),"Yes")</f>
        <v>Yes</v>
      </c>
      <c r="R138" s="1" t="str">
        <f ca="1">IFERROR(__xludf.DUMMYFUNCTION("""COMPUTED_VALUE"""),"No")</f>
        <v>No</v>
      </c>
      <c r="S138" s="1" t="str">
        <f ca="1">IFERROR(__xludf.DUMMYFUNCTION("""COMPUTED_VALUE"""),"No")</f>
        <v>No</v>
      </c>
      <c r="T138" s="1" t="str">
        <f ca="1">IFERROR(__xludf.DUMMYFUNCTION("""COMPUTED_VALUE"""),"Yes")</f>
        <v>Yes</v>
      </c>
    </row>
    <row r="139" spans="1:20" ht="13" x14ac:dyDescent="0.6">
      <c r="A139" s="1" t="str">
        <f ca="1">IFERROR(__xludf.DUMMYFUNCTION("""COMPUTED_VALUE"""),"Dorchester")</f>
        <v>Dorchester</v>
      </c>
      <c r="B139" s="1" t="str">
        <f ca="1">IFERROR(__xludf.DUMMYFUNCTION("""COMPUTED_VALUE"""),"Cambridge")</f>
        <v>Cambridge</v>
      </c>
      <c r="C139" s="1" t="str">
        <f ca="1">IFERROR(__xludf.DUMMYFUNCTION("""COMPUTED_VALUE"""),"Rite Aid Cambridge")</f>
        <v>Rite Aid Cambridge</v>
      </c>
      <c r="D139" s="1" t="str">
        <f ca="1">IFERROR(__xludf.DUMMYFUNCTION("""COMPUTED_VALUE"""),"798 Sunburst Highway Cambridge, MD 21613")</f>
        <v>798 Sunburst Highway Cambridge, MD 21613</v>
      </c>
      <c r="E139" s="1" t="str">
        <f ca="1">IFERROR(__xludf.DUMMYFUNCTION("""COMPUTED_VALUE"""),"Yes")</f>
        <v>Yes</v>
      </c>
      <c r="F139" s="1" t="str">
        <f ca="1">IFERROR(__xludf.DUMMYFUNCTION("""COMPUTED_VALUE"""),"Pharmacy")</f>
        <v>Pharmacy</v>
      </c>
      <c r="G139" s="1"/>
      <c r="H139" s="1"/>
      <c r="I139" s="2" t="str">
        <f ca="1">IFERROR(__xludf.DUMMYFUNCTION("""COMPUTED_VALUE"""),"https://www.riteaid.com/pharmacy/covid-qualifier")</f>
        <v>https://www.riteaid.com/pharmacy/covid-qualifier</v>
      </c>
      <c r="J139" s="1"/>
      <c r="K139" s="1"/>
      <c r="L139" s="1"/>
      <c r="M139" s="1" t="str">
        <f ca="1">IFERROR(__xludf.DUMMYFUNCTION("""COMPUTED_VALUE"""),"Schedule an appointment using the button below")</f>
        <v>Schedule an appointment using the button below</v>
      </c>
      <c r="N139" s="1"/>
      <c r="O139" s="1"/>
      <c r="P139" s="1" t="str">
        <f ca="1">IFERROR(__xludf.DUMMYFUNCTION("""COMPUTED_VALUE"""),"21613")</f>
        <v>21613</v>
      </c>
      <c r="Q139" s="1" t="str">
        <f ca="1">IFERROR(__xludf.DUMMYFUNCTION("""COMPUTED_VALUE"""),"Yes")</f>
        <v>Yes</v>
      </c>
      <c r="R139" s="1" t="str">
        <f ca="1">IFERROR(__xludf.DUMMYFUNCTION("""COMPUTED_VALUE"""),"Yes")</f>
        <v>Yes</v>
      </c>
      <c r="S139" s="1" t="str">
        <f ca="1">IFERROR(__xludf.DUMMYFUNCTION("""COMPUTED_VALUE"""),"No")</f>
        <v>No</v>
      </c>
      <c r="T139" s="1" t="str">
        <f ca="1">IFERROR(__xludf.DUMMYFUNCTION("""COMPUTED_VALUE"""),"Yes")</f>
        <v>Yes</v>
      </c>
    </row>
    <row r="140" spans="1:20" ht="13" x14ac:dyDescent="0.6">
      <c r="A140" s="1" t="str">
        <f ca="1">IFERROR(__xludf.DUMMYFUNCTION("""COMPUTED_VALUE"""),"Frederick")</f>
        <v>Frederick</v>
      </c>
      <c r="B140" s="1" t="str">
        <f ca="1">IFERROR(__xludf.DUMMYFUNCTION("""COMPUTED_VALUE"""),"Frederick")</f>
        <v>Frederick</v>
      </c>
      <c r="C140" s="1" t="str">
        <f ca="1">IFERROR(__xludf.DUMMYFUNCTION("""COMPUTED_VALUE"""),"Walgreens Frederick")</f>
        <v>Walgreens Frederick</v>
      </c>
      <c r="D140" s="1" t="str">
        <f ca="1">IFERROR(__xludf.DUMMYFUNCTION("""COMPUTED_VALUE"""),"1000 Key Pkwy Frederick Maryland 21702")</f>
        <v>1000 Key Pkwy Frederick Maryland 21702</v>
      </c>
      <c r="E140" s="1" t="str">
        <f ca="1">IFERROR(__xludf.DUMMYFUNCTION("""COMPUTED_VALUE"""),"Yes")</f>
        <v>Yes</v>
      </c>
      <c r="F140" s="1" t="str">
        <f ca="1">IFERROR(__xludf.DUMMYFUNCTION("""COMPUTED_VALUE"""),"Pharmacy")</f>
        <v>Pharmacy</v>
      </c>
      <c r="G140" s="1"/>
      <c r="H140" s="1"/>
      <c r="I140" s="2" t="str">
        <f ca="1">IFERROR(__xludf.DUMMYFUNCTION("""COMPUTED_VALUE"""),"https://www.walgreens.com/schedulevaccine")</f>
        <v>https://www.walgreens.com/schedulevaccine</v>
      </c>
      <c r="J140" s="1"/>
      <c r="K140" s="1" t="str">
        <f ca="1">IFERROR(__xludf.DUMMYFUNCTION("""COMPUTED_VALUE"""),"1-800-WALGREENS")</f>
        <v>1-800-WALGREENS</v>
      </c>
      <c r="L140" s="1"/>
      <c r="M140" s="1" t="str">
        <f ca="1">IFERROR(__xludf.DUMMYFUNCTION("""COMPUTED_VALUE"""),"Schedule an appointment using the button below")</f>
        <v>Schedule an appointment using the button below</v>
      </c>
      <c r="N140" s="1"/>
      <c r="O140" s="1" t="str">
        <f ca="1">IFERROR(__xludf.DUMMYFUNCTION("""COMPUTED_VALUE"""),"Yes")</f>
        <v>Yes</v>
      </c>
      <c r="P140" s="1" t="str">
        <f ca="1">IFERROR(__xludf.DUMMYFUNCTION("""COMPUTED_VALUE"""),"21702")</f>
        <v>21702</v>
      </c>
      <c r="Q140" s="1" t="str">
        <f ca="1">IFERROR(__xludf.DUMMYFUNCTION("""COMPUTED_VALUE"""),"Yes")</f>
        <v>Yes</v>
      </c>
      <c r="R140" s="1" t="str">
        <f ca="1">IFERROR(__xludf.DUMMYFUNCTION("""COMPUTED_VALUE"""),"No")</f>
        <v>No</v>
      </c>
      <c r="S140" s="1" t="str">
        <f ca="1">IFERROR(__xludf.DUMMYFUNCTION("""COMPUTED_VALUE"""),"No")</f>
        <v>No</v>
      </c>
      <c r="T140" s="1" t="str">
        <f ca="1">IFERROR(__xludf.DUMMYFUNCTION("""COMPUTED_VALUE"""),"Yes")</f>
        <v>Yes</v>
      </c>
    </row>
    <row r="141" spans="1:20" ht="13" x14ac:dyDescent="0.6">
      <c r="A141" s="1" t="str">
        <f ca="1">IFERROR(__xludf.DUMMYFUNCTION("""COMPUTED_VALUE"""),"Frederick")</f>
        <v>Frederick</v>
      </c>
      <c r="B141" s="1" t="str">
        <f ca="1">IFERROR(__xludf.DUMMYFUNCTION("""COMPUTED_VALUE"""),"Frederick")</f>
        <v>Frederick</v>
      </c>
      <c r="C141" s="1" t="str">
        <f ca="1">IFERROR(__xludf.DUMMYFUNCTION("""COMPUTED_VALUE"""),"Walgreens Frederick")</f>
        <v>Walgreens Frederick</v>
      </c>
      <c r="D141" s="1" t="str">
        <f ca="1">IFERROR(__xludf.DUMMYFUNCTION("""COMPUTED_VALUE"""),"6970 Crestwood Blvd Frederick Maryland 21703")</f>
        <v>6970 Crestwood Blvd Frederick Maryland 21703</v>
      </c>
      <c r="E141" s="1" t="str">
        <f ca="1">IFERROR(__xludf.DUMMYFUNCTION("""COMPUTED_VALUE"""),"Yes")</f>
        <v>Yes</v>
      </c>
      <c r="F141" s="1" t="str">
        <f ca="1">IFERROR(__xludf.DUMMYFUNCTION("""COMPUTED_VALUE"""),"Pharmacy")</f>
        <v>Pharmacy</v>
      </c>
      <c r="G141" s="1"/>
      <c r="H141" s="1"/>
      <c r="I141" s="2" t="str">
        <f ca="1">IFERROR(__xludf.DUMMYFUNCTION("""COMPUTED_VALUE"""),"https://www.walgreens.com/schedulevaccine")</f>
        <v>https://www.walgreens.com/schedulevaccine</v>
      </c>
      <c r="J141" s="1"/>
      <c r="K141" s="1" t="str">
        <f ca="1">IFERROR(__xludf.DUMMYFUNCTION("""COMPUTED_VALUE"""),"1-800-WALGREENS")</f>
        <v>1-800-WALGREENS</v>
      </c>
      <c r="L141" s="1"/>
      <c r="M141" s="1" t="str">
        <f ca="1">IFERROR(__xludf.DUMMYFUNCTION("""COMPUTED_VALUE"""),"Schedule an appointment using the button below")</f>
        <v>Schedule an appointment using the button below</v>
      </c>
      <c r="N141" s="1"/>
      <c r="O141" s="1" t="str">
        <f ca="1">IFERROR(__xludf.DUMMYFUNCTION("""COMPUTED_VALUE"""),"Yes")</f>
        <v>Yes</v>
      </c>
      <c r="P141" s="1" t="str">
        <f ca="1">IFERROR(__xludf.DUMMYFUNCTION("""COMPUTED_VALUE"""),"21703")</f>
        <v>21703</v>
      </c>
      <c r="Q141" s="1" t="str">
        <f ca="1">IFERROR(__xludf.DUMMYFUNCTION("""COMPUTED_VALUE"""),"Yes")</f>
        <v>Yes</v>
      </c>
      <c r="R141" s="1" t="str">
        <f ca="1">IFERROR(__xludf.DUMMYFUNCTION("""COMPUTED_VALUE"""),"No")</f>
        <v>No</v>
      </c>
      <c r="S141" s="1" t="str">
        <f ca="1">IFERROR(__xludf.DUMMYFUNCTION("""COMPUTED_VALUE"""),"No")</f>
        <v>No</v>
      </c>
      <c r="T141" s="1" t="str">
        <f ca="1">IFERROR(__xludf.DUMMYFUNCTION("""COMPUTED_VALUE"""),"Yes")</f>
        <v>Yes</v>
      </c>
    </row>
    <row r="142" spans="1:20" ht="13" x14ac:dyDescent="0.6">
      <c r="A142" s="1" t="str">
        <f ca="1">IFERROR(__xludf.DUMMYFUNCTION("""COMPUTED_VALUE"""),"Frederick")</f>
        <v>Frederick</v>
      </c>
      <c r="B142" s="1" t="str">
        <f ca="1">IFERROR(__xludf.DUMMYFUNCTION("""COMPUTED_VALUE"""),"Frederick")</f>
        <v>Frederick</v>
      </c>
      <c r="C142" s="1" t="str">
        <f ca="1">IFERROR(__xludf.DUMMYFUNCTION("""COMPUTED_VALUE"""),"Walmart Frederick")</f>
        <v>Walmart Frederick</v>
      </c>
      <c r="D142" s="1" t="str">
        <f ca="1">IFERROR(__xludf.DUMMYFUNCTION("""COMPUTED_VALUE"""),"2421 Monocacy Blvd Frederick MD 21701")</f>
        <v>2421 Monocacy Blvd Frederick MD 21701</v>
      </c>
      <c r="E142" s="1" t="str">
        <f ca="1">IFERROR(__xludf.DUMMYFUNCTION("""COMPUTED_VALUE"""),"Yes")</f>
        <v>Yes</v>
      </c>
      <c r="F142" s="1" t="str">
        <f ca="1">IFERROR(__xludf.DUMMYFUNCTION("""COMPUTED_VALUE"""),"Pharmacy")</f>
        <v>Pharmacy</v>
      </c>
      <c r="G142" s="1"/>
      <c r="H142" s="1"/>
      <c r="I142" s="2" t="str">
        <f ca="1">IFERROR(__xludf.DUMMYFUNCTION("""COMPUTED_VALUE"""),"https://walmart.com/covidvaccine")</f>
        <v>https://walmart.com/covidvaccine</v>
      </c>
      <c r="J142" s="1"/>
      <c r="K142" s="1" t="str">
        <f ca="1">IFERROR(__xludf.DUMMYFUNCTION("""COMPUTED_VALUE"""),"301-644-2449")</f>
        <v>301-644-2449</v>
      </c>
      <c r="L142" s="1"/>
      <c r="M142" s="1" t="str">
        <f ca="1">IFERROR(__xludf.DUMMYFUNCTION("""COMPUTED_VALUE"""),"Schedule an appointment using the button below")</f>
        <v>Schedule an appointment using the button below</v>
      </c>
      <c r="N142" s="1"/>
      <c r="O142" s="1" t="str">
        <f ca="1">IFERROR(__xludf.DUMMYFUNCTION("""COMPUTED_VALUE"""),"Yes")</f>
        <v>Yes</v>
      </c>
      <c r="P142" s="1" t="str">
        <f ca="1">IFERROR(__xludf.DUMMYFUNCTION("""COMPUTED_VALUE"""),"21701")</f>
        <v>21701</v>
      </c>
      <c r="Q142" s="1" t="str">
        <f ca="1">IFERROR(__xludf.DUMMYFUNCTION("""COMPUTED_VALUE"""),"Yes")</f>
        <v>Yes</v>
      </c>
      <c r="R142" s="1" t="str">
        <f ca="1">IFERROR(__xludf.DUMMYFUNCTION("""COMPUTED_VALUE"""),"No")</f>
        <v>No</v>
      </c>
      <c r="S142" s="1" t="str">
        <f ca="1">IFERROR(__xludf.DUMMYFUNCTION("""COMPUTED_VALUE"""),"No")</f>
        <v>No</v>
      </c>
      <c r="T142" s="1" t="str">
        <f ca="1">IFERROR(__xludf.DUMMYFUNCTION("""COMPUTED_VALUE"""),"Yes")</f>
        <v>Yes</v>
      </c>
    </row>
    <row r="143" spans="1:20" ht="13" x14ac:dyDescent="0.6">
      <c r="A143" s="1" t="str">
        <f ca="1">IFERROR(__xludf.DUMMYFUNCTION("""COMPUTED_VALUE"""),"Frederick")</f>
        <v>Frederick</v>
      </c>
      <c r="B143" s="1" t="str">
        <f ca="1">IFERROR(__xludf.DUMMYFUNCTION("""COMPUTED_VALUE"""),"Frederick")</f>
        <v>Frederick</v>
      </c>
      <c r="C143" s="1" t="str">
        <f ca="1">IFERROR(__xludf.DUMMYFUNCTION("""COMPUTED_VALUE"""),"Walmart Frederick")</f>
        <v>Walmart Frederick</v>
      </c>
      <c r="D143" s="1" t="str">
        <f ca="1">IFERROR(__xludf.DUMMYFUNCTION("""COMPUTED_VALUE"""),"5604 Buckeystown Pike Frederick MD 21704")</f>
        <v>5604 Buckeystown Pike Frederick MD 21704</v>
      </c>
      <c r="E143" s="1" t="str">
        <f ca="1">IFERROR(__xludf.DUMMYFUNCTION("""COMPUTED_VALUE"""),"Yes")</f>
        <v>Yes</v>
      </c>
      <c r="F143" s="1" t="str">
        <f ca="1">IFERROR(__xludf.DUMMYFUNCTION("""COMPUTED_VALUE"""),"Pharmacy")</f>
        <v>Pharmacy</v>
      </c>
      <c r="G143" s="1"/>
      <c r="H143" s="1"/>
      <c r="I143" s="2" t="str">
        <f ca="1">IFERROR(__xludf.DUMMYFUNCTION("""COMPUTED_VALUE"""),"https://walmart.com/covidvaccine")</f>
        <v>https://walmart.com/covidvaccine</v>
      </c>
      <c r="J143" s="1"/>
      <c r="K143" s="1" t="str">
        <f ca="1">IFERROR(__xludf.DUMMYFUNCTION("""COMPUTED_VALUE"""),"240-379-7612")</f>
        <v>240-379-7612</v>
      </c>
      <c r="L143" s="1"/>
      <c r="M143" s="1" t="str">
        <f ca="1">IFERROR(__xludf.DUMMYFUNCTION("""COMPUTED_VALUE"""),"Schedule an appointment using the button below")</f>
        <v>Schedule an appointment using the button below</v>
      </c>
      <c r="N143" s="1"/>
      <c r="O143" s="1" t="str">
        <f ca="1">IFERROR(__xludf.DUMMYFUNCTION("""COMPUTED_VALUE"""),"Yes")</f>
        <v>Yes</v>
      </c>
      <c r="P143" s="1" t="str">
        <f ca="1">IFERROR(__xludf.DUMMYFUNCTION("""COMPUTED_VALUE"""),"21704")</f>
        <v>21704</v>
      </c>
      <c r="Q143" s="1" t="str">
        <f ca="1">IFERROR(__xludf.DUMMYFUNCTION("""COMPUTED_VALUE"""),"Yes")</f>
        <v>Yes</v>
      </c>
      <c r="R143" s="1" t="str">
        <f ca="1">IFERROR(__xludf.DUMMYFUNCTION("""COMPUTED_VALUE"""),"No")</f>
        <v>No</v>
      </c>
      <c r="S143" s="1" t="str">
        <f ca="1">IFERROR(__xludf.DUMMYFUNCTION("""COMPUTED_VALUE"""),"No")</f>
        <v>No</v>
      </c>
      <c r="T143" s="1" t="str">
        <f ca="1">IFERROR(__xludf.DUMMYFUNCTION("""COMPUTED_VALUE"""),"Yes")</f>
        <v>Yes</v>
      </c>
    </row>
    <row r="144" spans="1:20" ht="13" x14ac:dyDescent="0.6">
      <c r="A144" s="1" t="str">
        <f ca="1">IFERROR(__xludf.DUMMYFUNCTION("""COMPUTED_VALUE"""),"Frederick")</f>
        <v>Frederick</v>
      </c>
      <c r="B144" s="1" t="str">
        <f ca="1">IFERROR(__xludf.DUMMYFUNCTION("""COMPUTED_VALUE"""),"Brunswick")</f>
        <v>Brunswick</v>
      </c>
      <c r="C144" s="1" t="str">
        <f ca="1">IFERROR(__xludf.DUMMYFUNCTION("""COMPUTED_VALUE"""),"Weis Pharmacy #239")</f>
        <v>Weis Pharmacy #239</v>
      </c>
      <c r="D144" s="1" t="str">
        <f ca="1">IFERROR(__xludf.DUMMYFUNCTION("""COMPUTED_VALUE"""),"1201 Dutchman's Creek Dr Brunswick, MD 21716")</f>
        <v>1201 Dutchman's Creek Dr Brunswick, MD 21716</v>
      </c>
      <c r="E144" s="1" t="str">
        <f ca="1">IFERROR(__xludf.DUMMYFUNCTION("""COMPUTED_VALUE"""),"Yes")</f>
        <v>Yes</v>
      </c>
      <c r="F144" s="1" t="str">
        <f ca="1">IFERROR(__xludf.DUMMYFUNCTION("""COMPUTED_VALUE"""),"Pharmacy")</f>
        <v>Pharmacy</v>
      </c>
      <c r="G144" s="1"/>
      <c r="H144" s="1"/>
      <c r="I144" s="2" t="str">
        <f ca="1">IFERROR(__xludf.DUMMYFUNCTION("""COMPUTED_VALUE"""),"https://www.weismarkets.com/pharmacy-services")</f>
        <v>https://www.weismarkets.com/pharmacy-services</v>
      </c>
      <c r="J144" s="1"/>
      <c r="K144" s="1"/>
      <c r="L144" s="1"/>
      <c r="M144" s="1" t="str">
        <f ca="1">IFERROR(__xludf.DUMMYFUNCTION("""COMPUTED_VALUE"""),"Schedule an appointment using the button below")</f>
        <v>Schedule an appointment using the button below</v>
      </c>
      <c r="N144" s="1"/>
      <c r="O144" s="1" t="str">
        <f ca="1">IFERROR(__xludf.DUMMYFUNCTION("""COMPUTED_VALUE"""),"Yes")</f>
        <v>Yes</v>
      </c>
      <c r="P144" s="1" t="str">
        <f ca="1">IFERROR(__xludf.DUMMYFUNCTION("""COMPUTED_VALUE"""),"21716")</f>
        <v>21716</v>
      </c>
      <c r="Q144" s="1" t="str">
        <f ca="1">IFERROR(__xludf.DUMMYFUNCTION("""COMPUTED_VALUE"""),"No")</f>
        <v>No</v>
      </c>
      <c r="R144" s="1" t="str">
        <f ca="1">IFERROR(__xludf.DUMMYFUNCTION("""COMPUTED_VALUE"""),"No")</f>
        <v>No</v>
      </c>
      <c r="S144" s="1" t="str">
        <f ca="1">IFERROR(__xludf.DUMMYFUNCTION("""COMPUTED_VALUE"""),"No")</f>
        <v>No</v>
      </c>
      <c r="T144" s="1" t="str">
        <f ca="1">IFERROR(__xludf.DUMMYFUNCTION("""COMPUTED_VALUE"""),"Yes")</f>
        <v>Yes</v>
      </c>
    </row>
    <row r="145" spans="1:20" ht="13" x14ac:dyDescent="0.6">
      <c r="A145" s="1" t="str">
        <f ca="1">IFERROR(__xludf.DUMMYFUNCTION("""COMPUTED_VALUE"""),"Frederick")</f>
        <v>Frederick</v>
      </c>
      <c r="B145" s="1" t="str">
        <f ca="1">IFERROR(__xludf.DUMMYFUNCTION("""COMPUTED_VALUE"""),"Frederick")</f>
        <v>Frederick</v>
      </c>
      <c r="C145" s="1" t="str">
        <f ca="1">IFERROR(__xludf.DUMMYFUNCTION("""COMPUTED_VALUE"""),"Weis Pharmacy #100")</f>
        <v>Weis Pharmacy #100</v>
      </c>
      <c r="D145" s="1" t="str">
        <f ca="1">IFERROR(__xludf.DUMMYFUNCTION("""COMPUTED_VALUE"""),"2 Old Camp Road Frederick, MD 21702")</f>
        <v>2 Old Camp Road Frederick, MD 21702</v>
      </c>
      <c r="E145" s="1" t="str">
        <f ca="1">IFERROR(__xludf.DUMMYFUNCTION("""COMPUTED_VALUE"""),"Yes")</f>
        <v>Yes</v>
      </c>
      <c r="F145" s="1" t="str">
        <f ca="1">IFERROR(__xludf.DUMMYFUNCTION("""COMPUTED_VALUE"""),"Pharmacy")</f>
        <v>Pharmacy</v>
      </c>
      <c r="G145" s="1"/>
      <c r="H145" s="1"/>
      <c r="I145" s="2" t="str">
        <f ca="1">IFERROR(__xludf.DUMMYFUNCTION("""COMPUTED_VALUE"""),"https://www.weismarkets.com/pharmacy-services")</f>
        <v>https://www.weismarkets.com/pharmacy-services</v>
      </c>
      <c r="J145" s="1"/>
      <c r="K145" s="1"/>
      <c r="L145" s="1"/>
      <c r="M145" s="1" t="str">
        <f ca="1">IFERROR(__xludf.DUMMYFUNCTION("""COMPUTED_VALUE"""),"Schedule an appointment using the button below")</f>
        <v>Schedule an appointment using the button below</v>
      </c>
      <c r="N145" s="1"/>
      <c r="O145" s="1" t="str">
        <f ca="1">IFERROR(__xludf.DUMMYFUNCTION("""COMPUTED_VALUE"""),"Yes")</f>
        <v>Yes</v>
      </c>
      <c r="P145" s="1" t="str">
        <f ca="1">IFERROR(__xludf.DUMMYFUNCTION("""COMPUTED_VALUE"""),"21702")</f>
        <v>21702</v>
      </c>
      <c r="Q145" s="1" t="str">
        <f ca="1">IFERROR(__xludf.DUMMYFUNCTION("""COMPUTED_VALUE"""),"Yes")</f>
        <v>Yes</v>
      </c>
      <c r="R145" s="1" t="str">
        <f ca="1">IFERROR(__xludf.DUMMYFUNCTION("""COMPUTED_VALUE"""),"Yes")</f>
        <v>Yes</v>
      </c>
      <c r="S145" s="1" t="str">
        <f ca="1">IFERROR(__xludf.DUMMYFUNCTION("""COMPUTED_VALUE"""),"Yes")</f>
        <v>Yes</v>
      </c>
      <c r="T145" s="1" t="str">
        <f ca="1">IFERROR(__xludf.DUMMYFUNCTION("""COMPUTED_VALUE"""),"Yes")</f>
        <v>Yes</v>
      </c>
    </row>
    <row r="146" spans="1:20" ht="13" x14ac:dyDescent="0.6">
      <c r="A146" s="1" t="str">
        <f ca="1">IFERROR(__xludf.DUMMYFUNCTION("""COMPUTED_VALUE"""),"Frederick")</f>
        <v>Frederick</v>
      </c>
      <c r="B146" s="1" t="str">
        <f ca="1">IFERROR(__xludf.DUMMYFUNCTION("""COMPUTED_VALUE"""),"Frederick")</f>
        <v>Frederick</v>
      </c>
      <c r="C146" s="1" t="str">
        <f ca="1">IFERROR(__xludf.DUMMYFUNCTION("""COMPUTED_VALUE"""),"Weis Pharmacy #149")</f>
        <v>Weis Pharmacy #149</v>
      </c>
      <c r="D146" s="1" t="str">
        <f ca="1">IFERROR(__xludf.DUMMYFUNCTION("""COMPUTED_VALUE"""),"6093 Spring Ridge Parkway Frederick, MD 21701")</f>
        <v>6093 Spring Ridge Parkway Frederick, MD 21701</v>
      </c>
      <c r="E146" s="1" t="str">
        <f ca="1">IFERROR(__xludf.DUMMYFUNCTION("""COMPUTED_VALUE"""),"Yes")</f>
        <v>Yes</v>
      </c>
      <c r="F146" s="1" t="str">
        <f ca="1">IFERROR(__xludf.DUMMYFUNCTION("""COMPUTED_VALUE"""),"Pharmacy")</f>
        <v>Pharmacy</v>
      </c>
      <c r="G146" s="1"/>
      <c r="H146" s="1"/>
      <c r="I146" s="2" t="str">
        <f ca="1">IFERROR(__xludf.DUMMYFUNCTION("""COMPUTED_VALUE"""),"https://www.weismarkets.com/pharmacy-services")</f>
        <v>https://www.weismarkets.com/pharmacy-services</v>
      </c>
      <c r="J146" s="1"/>
      <c r="K146" s="1"/>
      <c r="L146" s="1"/>
      <c r="M146" s="1" t="str">
        <f ca="1">IFERROR(__xludf.DUMMYFUNCTION("""COMPUTED_VALUE"""),"Schedule an appointment using the button below")</f>
        <v>Schedule an appointment using the button below</v>
      </c>
      <c r="N146" s="1"/>
      <c r="O146" s="1" t="str">
        <f ca="1">IFERROR(__xludf.DUMMYFUNCTION("""COMPUTED_VALUE"""),"Yes")</f>
        <v>Yes</v>
      </c>
      <c r="P146" s="1" t="str">
        <f ca="1">IFERROR(__xludf.DUMMYFUNCTION("""COMPUTED_VALUE"""),"21701")</f>
        <v>21701</v>
      </c>
      <c r="Q146" s="1" t="str">
        <f ca="1">IFERROR(__xludf.DUMMYFUNCTION("""COMPUTED_VALUE"""),"Yes")</f>
        <v>Yes</v>
      </c>
      <c r="R146" s="1" t="str">
        <f ca="1">IFERROR(__xludf.DUMMYFUNCTION("""COMPUTED_VALUE"""),"Yes")</f>
        <v>Yes</v>
      </c>
      <c r="S146" s="1" t="str">
        <f ca="1">IFERROR(__xludf.DUMMYFUNCTION("""COMPUTED_VALUE"""),"Yes")</f>
        <v>Yes</v>
      </c>
      <c r="T146" s="1" t="str">
        <f ca="1">IFERROR(__xludf.DUMMYFUNCTION("""COMPUTED_VALUE"""),"Yes")</f>
        <v>Yes</v>
      </c>
    </row>
    <row r="147" spans="1:20" ht="13" x14ac:dyDescent="0.6">
      <c r="A147" s="1" t="str">
        <f ca="1">IFERROR(__xludf.DUMMYFUNCTION("""COMPUTED_VALUE"""),"Frederick")</f>
        <v>Frederick</v>
      </c>
      <c r="B147" s="1" t="str">
        <f ca="1">IFERROR(__xludf.DUMMYFUNCTION("""COMPUTED_VALUE"""),"Thurmont")</f>
        <v>Thurmont</v>
      </c>
      <c r="C147" s="1" t="str">
        <f ca="1">IFERROR(__xludf.DUMMYFUNCTION("""COMPUTED_VALUE"""),"Weis Pharmacy #179")</f>
        <v>Weis Pharmacy #179</v>
      </c>
      <c r="D147" s="1" t="str">
        <f ca="1">IFERROR(__xludf.DUMMYFUNCTION("""COMPUTED_VALUE"""),"2 Thurmont Boulevard Thurmont, MD 21788")</f>
        <v>2 Thurmont Boulevard Thurmont, MD 21788</v>
      </c>
      <c r="E147" s="1" t="str">
        <f ca="1">IFERROR(__xludf.DUMMYFUNCTION("""COMPUTED_VALUE"""),"Yes")</f>
        <v>Yes</v>
      </c>
      <c r="F147" s="1" t="str">
        <f ca="1">IFERROR(__xludf.DUMMYFUNCTION("""COMPUTED_VALUE"""),"Pharmacy")</f>
        <v>Pharmacy</v>
      </c>
      <c r="G147" s="1"/>
      <c r="H147" s="1"/>
      <c r="I147" s="2" t="str">
        <f ca="1">IFERROR(__xludf.DUMMYFUNCTION("""COMPUTED_VALUE"""),"https://www.weismarkets.com/pharmacy-services")</f>
        <v>https://www.weismarkets.com/pharmacy-services</v>
      </c>
      <c r="J147" s="1"/>
      <c r="K147" s="1"/>
      <c r="L147" s="1"/>
      <c r="M147" s="1" t="str">
        <f ca="1">IFERROR(__xludf.DUMMYFUNCTION("""COMPUTED_VALUE"""),"Schedule an appointment using the button below")</f>
        <v>Schedule an appointment using the button below</v>
      </c>
      <c r="N147" s="1"/>
      <c r="O147" s="1" t="str">
        <f ca="1">IFERROR(__xludf.DUMMYFUNCTION("""COMPUTED_VALUE"""),"Yes")</f>
        <v>Yes</v>
      </c>
      <c r="P147" s="1" t="str">
        <f ca="1">IFERROR(__xludf.DUMMYFUNCTION("""COMPUTED_VALUE"""),"21788")</f>
        <v>21788</v>
      </c>
      <c r="Q147" s="1" t="str">
        <f ca="1">IFERROR(__xludf.DUMMYFUNCTION("""COMPUTED_VALUE"""),"Yes")</f>
        <v>Yes</v>
      </c>
      <c r="R147" s="1" t="str">
        <f ca="1">IFERROR(__xludf.DUMMYFUNCTION("""COMPUTED_VALUE"""),"Yes")</f>
        <v>Yes</v>
      </c>
      <c r="S147" s="1" t="str">
        <f ca="1">IFERROR(__xludf.DUMMYFUNCTION("""COMPUTED_VALUE"""),"Yes")</f>
        <v>Yes</v>
      </c>
      <c r="T147" s="1" t="str">
        <f ca="1">IFERROR(__xludf.DUMMYFUNCTION("""COMPUTED_VALUE"""),"Yes")</f>
        <v>Yes</v>
      </c>
    </row>
    <row r="148" spans="1:20" ht="13" x14ac:dyDescent="0.6">
      <c r="A148" s="1" t="str">
        <f ca="1">IFERROR(__xludf.DUMMYFUNCTION("""COMPUTED_VALUE"""),"Frederick")</f>
        <v>Frederick</v>
      </c>
      <c r="B148" s="1" t="str">
        <f ca="1">IFERROR(__xludf.DUMMYFUNCTION("""COMPUTED_VALUE"""),"Frederick")</f>
        <v>Frederick</v>
      </c>
      <c r="C148" s="1" t="str">
        <f ca="1">IFERROR(__xludf.DUMMYFUNCTION("""COMPUTED_VALUE"""),"Wegman's Pharmacy #054 Frederick")</f>
        <v>Wegman's Pharmacy #054 Frederick</v>
      </c>
      <c r="D148" s="1" t="str">
        <f ca="1">IFERROR(__xludf.DUMMYFUNCTION("""COMPUTED_VALUE"""),"7830 Worman's Mill Road Frederick, MD 21701")</f>
        <v>7830 Worman's Mill Road Frederick, MD 21701</v>
      </c>
      <c r="E148" s="1" t="str">
        <f ca="1">IFERROR(__xludf.DUMMYFUNCTION("""COMPUTED_VALUE"""),"Yes")</f>
        <v>Yes</v>
      </c>
      <c r="F148" s="1" t="str">
        <f ca="1">IFERROR(__xludf.DUMMYFUNCTION("""COMPUTED_VALUE"""),"Pharmacy")</f>
        <v>Pharmacy</v>
      </c>
      <c r="G148" s="1"/>
      <c r="H148" s="1"/>
      <c r="I148" s="2" t="str">
        <f ca="1">IFERROR(__xludf.DUMMYFUNCTION("""COMPUTED_VALUE"""),"https://www.wegmans.com/covid-vaccine-registration/")</f>
        <v>https://www.wegmans.com/covid-vaccine-registration/</v>
      </c>
      <c r="J148" s="1"/>
      <c r="K148" s="1"/>
      <c r="L148" s="1"/>
      <c r="M148" s="1" t="str">
        <f ca="1">IFERROR(__xludf.DUMMYFUNCTION("""COMPUTED_VALUE"""),"Schedule an appointment using the button below")</f>
        <v>Schedule an appointment using the button below</v>
      </c>
      <c r="N148" s="1"/>
      <c r="O148" s="1" t="str">
        <f ca="1">IFERROR(__xludf.DUMMYFUNCTION("""COMPUTED_VALUE"""),"Yes")</f>
        <v>Yes</v>
      </c>
      <c r="P148" s="1" t="str">
        <f ca="1">IFERROR(__xludf.DUMMYFUNCTION("""COMPUTED_VALUE"""),"21701")</f>
        <v>21701</v>
      </c>
      <c r="Q148" s="1" t="str">
        <f ca="1">IFERROR(__xludf.DUMMYFUNCTION("""COMPUTED_VALUE"""),"Yes")</f>
        <v>Yes</v>
      </c>
      <c r="R148" s="1" t="str">
        <f ca="1">IFERROR(__xludf.DUMMYFUNCTION("""COMPUTED_VALUE"""),"Yes")</f>
        <v>Yes</v>
      </c>
      <c r="S148" s="1" t="str">
        <f ca="1">IFERROR(__xludf.DUMMYFUNCTION("""COMPUTED_VALUE"""),"No")</f>
        <v>No</v>
      </c>
      <c r="T148" s="1" t="str">
        <f ca="1">IFERROR(__xludf.DUMMYFUNCTION("""COMPUTED_VALUE"""),"Yes")</f>
        <v>Yes</v>
      </c>
    </row>
    <row r="149" spans="1:20" ht="13" x14ac:dyDescent="0.6">
      <c r="A149" s="1" t="str">
        <f ca="1">IFERROR(__xludf.DUMMYFUNCTION("""COMPUTED_VALUE"""),"Frederick")</f>
        <v>Frederick</v>
      </c>
      <c r="B149" s="1" t="str">
        <f ca="1">IFERROR(__xludf.DUMMYFUNCTION("""COMPUTED_VALUE"""),"Frederick")</f>
        <v>Frederick</v>
      </c>
      <c r="C149" s="1" t="str">
        <f ca="1">IFERROR(__xludf.DUMMYFUNCTION("""COMPUTED_VALUE"""),"Giant Food Frederick")</f>
        <v>Giant Food Frederick</v>
      </c>
      <c r="D149" s="1" t="str">
        <f ca="1">IFERROR(__xludf.DUMMYFUNCTION("""COMPUTED_VALUE"""),"3530 Sugarloaf Parkway Frederick, MD 21704")</f>
        <v>3530 Sugarloaf Parkway Frederick, MD 21704</v>
      </c>
      <c r="E149" s="1" t="str">
        <f ca="1">IFERROR(__xludf.DUMMYFUNCTION("""COMPUTED_VALUE"""),"Yes")</f>
        <v>Yes</v>
      </c>
      <c r="F149" s="1" t="str">
        <f ca="1">IFERROR(__xludf.DUMMYFUNCTION("""COMPUTED_VALUE"""),"Pharmacy")</f>
        <v>Pharmacy</v>
      </c>
      <c r="G149" s="1"/>
      <c r="H149" s="1" t="str">
        <f ca="1">IFERROR(__xludf.DUMMYFUNCTION("""COMPUTED_VALUE"""),"Sun 10am - 5pm, Mon - Fri 9am - 9pm, Sat 9am - 6pm")</f>
        <v>Sun 10am - 5pm, Mon - Fri 9am - 9pm, Sat 9am - 6pm</v>
      </c>
      <c r="I149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49" s="1"/>
      <c r="K149" s="1" t="str">
        <f ca="1">IFERROR(__xludf.DUMMYFUNCTION("""COMPUTED_VALUE"""),"301-874-1201")</f>
        <v>301-874-1201</v>
      </c>
      <c r="L149" s="1"/>
      <c r="M149" s="1" t="str">
        <f ca="1">IFERROR(__xludf.DUMMYFUNCTION("""COMPUTED_VALUE"""),"Schedule an appointment using the button below")</f>
        <v>Schedule an appointment using the button below</v>
      </c>
      <c r="N149" s="1"/>
      <c r="O149" s="1" t="str">
        <f ca="1">IFERROR(__xludf.DUMMYFUNCTION("""COMPUTED_VALUE"""),"Yes")</f>
        <v>Yes</v>
      </c>
      <c r="P149" s="1" t="str">
        <f ca="1">IFERROR(__xludf.DUMMYFUNCTION("""COMPUTED_VALUE"""),"21704")</f>
        <v>21704</v>
      </c>
      <c r="Q149" s="1" t="str">
        <f ca="1">IFERROR(__xludf.DUMMYFUNCTION("""COMPUTED_VALUE"""),"Yes")</f>
        <v>Yes</v>
      </c>
      <c r="R149" s="1" t="str">
        <f ca="1">IFERROR(__xludf.DUMMYFUNCTION("""COMPUTED_VALUE"""),"Yes")</f>
        <v>Yes</v>
      </c>
      <c r="S149" s="1" t="str">
        <f ca="1">IFERROR(__xludf.DUMMYFUNCTION("""COMPUTED_VALUE"""),"Yes")</f>
        <v>Yes</v>
      </c>
      <c r="T149" s="1" t="str">
        <f ca="1">IFERROR(__xludf.DUMMYFUNCTION("""COMPUTED_VALUE"""),"Yes")</f>
        <v>Yes</v>
      </c>
    </row>
    <row r="150" spans="1:20" ht="13" x14ac:dyDescent="0.6">
      <c r="A150" s="1" t="str">
        <f ca="1">IFERROR(__xludf.DUMMYFUNCTION("""COMPUTED_VALUE"""),"Frederick")</f>
        <v>Frederick</v>
      </c>
      <c r="B150" s="1" t="str">
        <f ca="1">IFERROR(__xludf.DUMMYFUNCTION("""COMPUTED_VALUE"""),"Mount Airy")</f>
        <v>Mount Airy</v>
      </c>
      <c r="C150" s="1" t="str">
        <f ca="1">IFERROR(__xludf.DUMMYFUNCTION("""COMPUTED_VALUE"""),"Walmart Mount Airy")</f>
        <v>Walmart Mount Airy</v>
      </c>
      <c r="D150" s="1" t="str">
        <f ca="1">IFERROR(__xludf.DUMMYFUNCTION("""COMPUTED_VALUE"""),"209 E Ridgeville Blvd Mount Airy, MD 21771")</f>
        <v>209 E Ridgeville Blvd Mount Airy, MD 21771</v>
      </c>
      <c r="E150" s="1" t="str">
        <f ca="1">IFERROR(__xludf.DUMMYFUNCTION("""COMPUTED_VALUE"""),"Yes")</f>
        <v>Yes</v>
      </c>
      <c r="F150" s="1" t="str">
        <f ca="1">IFERROR(__xludf.DUMMYFUNCTION("""COMPUTED_VALUE"""),"Pharmacy")</f>
        <v>Pharmacy</v>
      </c>
      <c r="G150" s="1"/>
      <c r="H150" s="1"/>
      <c r="I150" s="2" t="str">
        <f ca="1">IFERROR(__xludf.DUMMYFUNCTION("""COMPUTED_VALUE"""),"https://walmart.com/covidvaccine")</f>
        <v>https://walmart.com/covidvaccine</v>
      </c>
      <c r="J150" s="1"/>
      <c r="K150" s="1" t="str">
        <f ca="1">IFERROR(__xludf.DUMMYFUNCTION("""COMPUTED_VALUE"""),"301-829-4403")</f>
        <v>301-829-4403</v>
      </c>
      <c r="L150" s="1"/>
      <c r="M150" s="1" t="str">
        <f ca="1">IFERROR(__xludf.DUMMYFUNCTION("""COMPUTED_VALUE"""),"Schedule an appointment using the button below")</f>
        <v>Schedule an appointment using the button below</v>
      </c>
      <c r="N150" s="1"/>
      <c r="O150" s="1" t="str">
        <f ca="1">IFERROR(__xludf.DUMMYFUNCTION("""COMPUTED_VALUE"""),"Yes")</f>
        <v>Yes</v>
      </c>
      <c r="P150" s="1" t="str">
        <f ca="1">IFERROR(__xludf.DUMMYFUNCTION("""COMPUTED_VALUE"""),"21771")</f>
        <v>21771</v>
      </c>
      <c r="Q150" s="1" t="str">
        <f ca="1">IFERROR(__xludf.DUMMYFUNCTION("""COMPUTED_VALUE"""),"Yes")</f>
        <v>Yes</v>
      </c>
      <c r="R150" s="1" t="str">
        <f ca="1">IFERROR(__xludf.DUMMYFUNCTION("""COMPUTED_VALUE"""),"Yes")</f>
        <v>Yes</v>
      </c>
      <c r="S150" s="1" t="str">
        <f ca="1">IFERROR(__xludf.DUMMYFUNCTION("""COMPUTED_VALUE"""),"Yes")</f>
        <v>Yes</v>
      </c>
      <c r="T150" s="1" t="str">
        <f ca="1">IFERROR(__xludf.DUMMYFUNCTION("""COMPUTED_VALUE"""),"Yes")</f>
        <v>Yes</v>
      </c>
    </row>
    <row r="151" spans="1:20" ht="13" x14ac:dyDescent="0.6">
      <c r="A151" s="1" t="str">
        <f ca="1">IFERROR(__xludf.DUMMYFUNCTION("""COMPUTED_VALUE"""),"Frederick")</f>
        <v>Frederick</v>
      </c>
      <c r="B151" s="1" t="str">
        <f ca="1">IFERROR(__xludf.DUMMYFUNCTION("""COMPUTED_VALUE"""),"Frederick")</f>
        <v>Frederick</v>
      </c>
      <c r="C151" s="1" t="str">
        <f ca="1">IFERROR(__xludf.DUMMYFUNCTION("""COMPUTED_VALUE"""),"CVS Frederick")</f>
        <v>CVS Frederick</v>
      </c>
      <c r="D151" s="1" t="str">
        <f ca="1">IFERROR(__xludf.DUMMYFUNCTION("""COMPUTED_VALUE"""),"2040 Rosemont Ave, Frederick, MD 21702")</f>
        <v>2040 Rosemont Ave, Frederick, MD 21702</v>
      </c>
      <c r="E151" s="1" t="str">
        <f ca="1">IFERROR(__xludf.DUMMYFUNCTION("""COMPUTED_VALUE"""),"Yes")</f>
        <v>Yes</v>
      </c>
      <c r="F151" s="1" t="str">
        <f ca="1">IFERROR(__xludf.DUMMYFUNCTION("""COMPUTED_VALUE"""),"Pharmacy")</f>
        <v>Pharmacy</v>
      </c>
      <c r="G151" s="1"/>
      <c r="H151" s="1"/>
      <c r="I151" s="2" t="str">
        <f ca="1">IFERROR(__xludf.DUMMYFUNCTION("""COMPUTED_VALUE"""),"https://www.cvs.com/immunizations/covid-19-vaccine")</f>
        <v>https://www.cvs.com/immunizations/covid-19-vaccine</v>
      </c>
      <c r="J151" s="1" t="str">
        <f ca="1">IFERROR(__xludf.DUMMYFUNCTION("""COMPUTED_VALUE"""),"Yes")</f>
        <v>Yes</v>
      </c>
      <c r="K151" s="1" t="str">
        <f ca="1">IFERROR(__xludf.DUMMYFUNCTION("""COMPUTED_VALUE"""),"800-746-7287")</f>
        <v>800-746-7287</v>
      </c>
      <c r="L151" s="1"/>
      <c r="M151" s="1" t="str">
        <f ca="1">IFERROR(__xludf.DUMMYFUNCTION("""COMPUTED_VALUE"""),"Schedule an appointment using the button below")</f>
        <v>Schedule an appointment using the button below</v>
      </c>
      <c r="N151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51" s="1" t="str">
        <f ca="1">IFERROR(__xludf.DUMMYFUNCTION("""COMPUTED_VALUE"""),"Yes")</f>
        <v>Yes</v>
      </c>
      <c r="P151" s="1" t="str">
        <f ca="1">IFERROR(__xludf.DUMMYFUNCTION("""COMPUTED_VALUE"""),"21702")</f>
        <v>21702</v>
      </c>
      <c r="Q151" s="1" t="str">
        <f ca="1">IFERROR(__xludf.DUMMYFUNCTION("""COMPUTED_VALUE"""),"Yes")</f>
        <v>Yes</v>
      </c>
      <c r="R151" s="1" t="str">
        <f ca="1">IFERROR(__xludf.DUMMYFUNCTION("""COMPUTED_VALUE"""),"No")</f>
        <v>No</v>
      </c>
      <c r="S151" s="1" t="str">
        <f ca="1">IFERROR(__xludf.DUMMYFUNCTION("""COMPUTED_VALUE"""),"No")</f>
        <v>No</v>
      </c>
      <c r="T151" s="1" t="str">
        <f ca="1">IFERROR(__xludf.DUMMYFUNCTION("""COMPUTED_VALUE"""),"Yes")</f>
        <v>Yes</v>
      </c>
    </row>
    <row r="152" spans="1:20" ht="13" x14ac:dyDescent="0.6">
      <c r="A152" s="1" t="str">
        <f ca="1">IFERROR(__xludf.DUMMYFUNCTION("""COMPUTED_VALUE"""),"Frederick")</f>
        <v>Frederick</v>
      </c>
      <c r="B152" s="1" t="str">
        <f ca="1">IFERROR(__xludf.DUMMYFUNCTION("""COMPUTED_VALUE"""),"Frederick")</f>
        <v>Frederick</v>
      </c>
      <c r="C152" s="1" t="str">
        <f ca="1">IFERROR(__xludf.DUMMYFUNCTION("""COMPUTED_VALUE"""),"CVS Frederick")</f>
        <v>CVS Frederick</v>
      </c>
      <c r="D152" s="1" t="str">
        <f ca="1">IFERROR(__xludf.DUMMYFUNCTION("""COMPUTED_VALUE"""),"300 Ballenger Center Dr., Frederick, MD 21703")</f>
        <v>300 Ballenger Center Dr., Frederick, MD 21703</v>
      </c>
      <c r="E152" s="1" t="str">
        <f ca="1">IFERROR(__xludf.DUMMYFUNCTION("""COMPUTED_VALUE"""),"Yes")</f>
        <v>Yes</v>
      </c>
      <c r="F152" s="1" t="str">
        <f ca="1">IFERROR(__xludf.DUMMYFUNCTION("""COMPUTED_VALUE"""),"Pharmacy")</f>
        <v>Pharmacy</v>
      </c>
      <c r="G152" s="1"/>
      <c r="H152" s="1"/>
      <c r="I152" s="2" t="str">
        <f ca="1">IFERROR(__xludf.DUMMYFUNCTION("""COMPUTED_VALUE"""),"https://www.cvs.com/immunizations/covid-19-vaccine")</f>
        <v>https://www.cvs.com/immunizations/covid-19-vaccine</v>
      </c>
      <c r="J152" s="1" t="str">
        <f ca="1">IFERROR(__xludf.DUMMYFUNCTION("""COMPUTED_VALUE"""),"Yes")</f>
        <v>Yes</v>
      </c>
      <c r="K152" s="1" t="str">
        <f ca="1">IFERROR(__xludf.DUMMYFUNCTION("""COMPUTED_VALUE"""),"800-746-7287")</f>
        <v>800-746-7287</v>
      </c>
      <c r="L152" s="1"/>
      <c r="M152" s="1" t="str">
        <f ca="1">IFERROR(__xludf.DUMMYFUNCTION("""COMPUTED_VALUE"""),"Schedule an appointment using the button below")</f>
        <v>Schedule an appointment using the button below</v>
      </c>
      <c r="N152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52" s="1" t="str">
        <f ca="1">IFERROR(__xludf.DUMMYFUNCTION("""COMPUTED_VALUE"""),"Yes")</f>
        <v>Yes</v>
      </c>
      <c r="P152" s="1" t="str">
        <f ca="1">IFERROR(__xludf.DUMMYFUNCTION("""COMPUTED_VALUE"""),"21703")</f>
        <v>21703</v>
      </c>
      <c r="Q152" s="1" t="str">
        <f ca="1">IFERROR(__xludf.DUMMYFUNCTION("""COMPUTED_VALUE"""),"Yes")</f>
        <v>Yes</v>
      </c>
      <c r="R152" s="1" t="str">
        <f ca="1">IFERROR(__xludf.DUMMYFUNCTION("""COMPUTED_VALUE"""),"No")</f>
        <v>No</v>
      </c>
      <c r="S152" s="1" t="str">
        <f ca="1">IFERROR(__xludf.DUMMYFUNCTION("""COMPUTED_VALUE"""),"No")</f>
        <v>No</v>
      </c>
      <c r="T152" s="1" t="str">
        <f ca="1">IFERROR(__xludf.DUMMYFUNCTION("""COMPUTED_VALUE"""),"Yes")</f>
        <v>Yes</v>
      </c>
    </row>
    <row r="153" spans="1:20" ht="13" x14ac:dyDescent="0.6">
      <c r="A153" s="1" t="str">
        <f ca="1">IFERROR(__xludf.DUMMYFUNCTION("""COMPUTED_VALUE"""),"Frederick")</f>
        <v>Frederick</v>
      </c>
      <c r="B153" s="1" t="str">
        <f ca="1">IFERROR(__xludf.DUMMYFUNCTION("""COMPUTED_VALUE"""),"Frederick")</f>
        <v>Frederick</v>
      </c>
      <c r="C153" s="1" t="str">
        <f ca="1">IFERROR(__xludf.DUMMYFUNCTION("""COMPUTED_VALUE"""),"CVS Frederick")</f>
        <v>CVS Frederick</v>
      </c>
      <c r="D153" s="1" t="str">
        <f ca="1">IFERROR(__xludf.DUMMYFUNCTION("""COMPUTED_VALUE"""),"5437 Urbana Pike, Frederick, MD 21704")</f>
        <v>5437 Urbana Pike, Frederick, MD 21704</v>
      </c>
      <c r="E153" s="1" t="str">
        <f ca="1">IFERROR(__xludf.DUMMYFUNCTION("""COMPUTED_VALUE"""),"Yes")</f>
        <v>Yes</v>
      </c>
      <c r="F153" s="1" t="str">
        <f ca="1">IFERROR(__xludf.DUMMYFUNCTION("""COMPUTED_VALUE"""),"Pharmacy")</f>
        <v>Pharmacy</v>
      </c>
      <c r="G153" s="1"/>
      <c r="H153" s="1"/>
      <c r="I153" s="2" t="str">
        <f ca="1">IFERROR(__xludf.DUMMYFUNCTION("""COMPUTED_VALUE"""),"https://www.cvs.com/immunizations/covid-19-vaccine")</f>
        <v>https://www.cvs.com/immunizations/covid-19-vaccine</v>
      </c>
      <c r="J153" s="1" t="str">
        <f ca="1">IFERROR(__xludf.DUMMYFUNCTION("""COMPUTED_VALUE"""),"Yes")</f>
        <v>Yes</v>
      </c>
      <c r="K153" s="1" t="str">
        <f ca="1">IFERROR(__xludf.DUMMYFUNCTION("""COMPUTED_VALUE"""),"800-746-7287")</f>
        <v>800-746-7287</v>
      </c>
      <c r="L153" s="1"/>
      <c r="M153" s="1" t="str">
        <f ca="1">IFERROR(__xludf.DUMMYFUNCTION("""COMPUTED_VALUE"""),"Schedule an appointment using the button below")</f>
        <v>Schedule an appointment using the button below</v>
      </c>
      <c r="N15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53" s="1" t="str">
        <f ca="1">IFERROR(__xludf.DUMMYFUNCTION("""COMPUTED_VALUE"""),"Yes")</f>
        <v>Yes</v>
      </c>
      <c r="P153" s="1" t="str">
        <f ca="1">IFERROR(__xludf.DUMMYFUNCTION("""COMPUTED_VALUE"""),"21704")</f>
        <v>21704</v>
      </c>
      <c r="Q153" s="1" t="str">
        <f ca="1">IFERROR(__xludf.DUMMYFUNCTION("""COMPUTED_VALUE"""),"Yes")</f>
        <v>Yes</v>
      </c>
      <c r="R153" s="1" t="str">
        <f ca="1">IFERROR(__xludf.DUMMYFUNCTION("""COMPUTED_VALUE"""),"No")</f>
        <v>No</v>
      </c>
      <c r="S153" s="1" t="str">
        <f ca="1">IFERROR(__xludf.DUMMYFUNCTION("""COMPUTED_VALUE"""),"No")</f>
        <v>No</v>
      </c>
      <c r="T153" s="1" t="str">
        <f ca="1">IFERROR(__xludf.DUMMYFUNCTION("""COMPUTED_VALUE"""),"Yes")</f>
        <v>Yes</v>
      </c>
    </row>
    <row r="154" spans="1:20" ht="13" x14ac:dyDescent="0.6">
      <c r="A154" s="1" t="str">
        <f ca="1">IFERROR(__xludf.DUMMYFUNCTION("""COMPUTED_VALUE"""),"Frederick")</f>
        <v>Frederick</v>
      </c>
      <c r="B154" s="1" t="str">
        <f ca="1">IFERROR(__xludf.DUMMYFUNCTION("""COMPUTED_VALUE"""),"Frederick")</f>
        <v>Frederick</v>
      </c>
      <c r="C154" s="1" t="str">
        <f ca="1">IFERROR(__xludf.DUMMYFUNCTION("""COMPUTED_VALUE"""),"CVS Frederick")</f>
        <v>CVS Frederick</v>
      </c>
      <c r="D154" s="1" t="str">
        <f ca="1">IFERROR(__xludf.DUMMYFUNCTION("""COMPUTED_VALUE"""),"8032 C Liberty Road, Frederick, MD 21701")</f>
        <v>8032 C Liberty Road, Frederick, MD 21701</v>
      </c>
      <c r="E154" s="1" t="str">
        <f ca="1">IFERROR(__xludf.DUMMYFUNCTION("""COMPUTED_VALUE"""),"Yes")</f>
        <v>Yes</v>
      </c>
      <c r="F154" s="1" t="str">
        <f ca="1">IFERROR(__xludf.DUMMYFUNCTION("""COMPUTED_VALUE"""),"Pharmacy")</f>
        <v>Pharmacy</v>
      </c>
      <c r="G154" s="1"/>
      <c r="H154" s="1"/>
      <c r="I154" s="2" t="str">
        <f ca="1">IFERROR(__xludf.DUMMYFUNCTION("""COMPUTED_VALUE"""),"https://www.cvs.com/immunizations/covid-19-vaccine")</f>
        <v>https://www.cvs.com/immunizations/covid-19-vaccine</v>
      </c>
      <c r="J154" s="1" t="str">
        <f ca="1">IFERROR(__xludf.DUMMYFUNCTION("""COMPUTED_VALUE"""),"Yes")</f>
        <v>Yes</v>
      </c>
      <c r="K154" s="1" t="str">
        <f ca="1">IFERROR(__xludf.DUMMYFUNCTION("""COMPUTED_VALUE"""),"800-746-7287")</f>
        <v>800-746-7287</v>
      </c>
      <c r="L154" s="1"/>
      <c r="M154" s="1" t="str">
        <f ca="1">IFERROR(__xludf.DUMMYFUNCTION("""COMPUTED_VALUE"""),"Schedule an appointment using the button below")</f>
        <v>Schedule an appointment using the button below</v>
      </c>
      <c r="N154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54" s="1" t="str">
        <f ca="1">IFERROR(__xludf.DUMMYFUNCTION("""COMPUTED_VALUE"""),"Yes")</f>
        <v>Yes</v>
      </c>
      <c r="P154" s="1" t="str">
        <f ca="1">IFERROR(__xludf.DUMMYFUNCTION("""COMPUTED_VALUE"""),"21701")</f>
        <v>21701</v>
      </c>
      <c r="Q154" s="1" t="str">
        <f ca="1">IFERROR(__xludf.DUMMYFUNCTION("""COMPUTED_VALUE"""),"Yes")</f>
        <v>Yes</v>
      </c>
      <c r="R154" s="1" t="str">
        <f ca="1">IFERROR(__xludf.DUMMYFUNCTION("""COMPUTED_VALUE"""),"No")</f>
        <v>No</v>
      </c>
      <c r="S154" s="1" t="str">
        <f ca="1">IFERROR(__xludf.DUMMYFUNCTION("""COMPUTED_VALUE"""),"No")</f>
        <v>No</v>
      </c>
      <c r="T154" s="1" t="str">
        <f ca="1">IFERROR(__xludf.DUMMYFUNCTION("""COMPUTED_VALUE"""),"Yes")</f>
        <v>Yes</v>
      </c>
    </row>
    <row r="155" spans="1:20" ht="13" x14ac:dyDescent="0.6">
      <c r="A155" s="1" t="str">
        <f ca="1">IFERROR(__xludf.DUMMYFUNCTION("""COMPUTED_VALUE"""),"Frederick")</f>
        <v>Frederick</v>
      </c>
      <c r="B155" s="1" t="str">
        <f ca="1">IFERROR(__xludf.DUMMYFUNCTION("""COMPUTED_VALUE"""),"New Market")</f>
        <v>New Market</v>
      </c>
      <c r="C155" s="1" t="str">
        <f ca="1">IFERROR(__xludf.DUMMYFUNCTION("""COMPUTED_VALUE"""),"CVS New Market")</f>
        <v>CVS New Market</v>
      </c>
      <c r="D155" s="1" t="str">
        <f ca="1">IFERROR(__xludf.DUMMYFUNCTION("""COMPUTED_VALUE"""),"5414 Rotary Ave, New Market, MD 21774")</f>
        <v>5414 Rotary Ave, New Market, MD 21774</v>
      </c>
      <c r="E155" s="1" t="str">
        <f ca="1">IFERROR(__xludf.DUMMYFUNCTION("""COMPUTED_VALUE"""),"Yes")</f>
        <v>Yes</v>
      </c>
      <c r="F155" s="1" t="str">
        <f ca="1">IFERROR(__xludf.DUMMYFUNCTION("""COMPUTED_VALUE"""),"Pharmacy")</f>
        <v>Pharmacy</v>
      </c>
      <c r="G155" s="1"/>
      <c r="H155" s="1"/>
      <c r="I155" s="2" t="str">
        <f ca="1">IFERROR(__xludf.DUMMYFUNCTION("""COMPUTED_VALUE"""),"https://www.cvs.com/immunizations/covid-19-vaccine")</f>
        <v>https://www.cvs.com/immunizations/covid-19-vaccine</v>
      </c>
      <c r="J155" s="1" t="str">
        <f ca="1">IFERROR(__xludf.DUMMYFUNCTION("""COMPUTED_VALUE"""),"Yes")</f>
        <v>Yes</v>
      </c>
      <c r="K155" s="1" t="str">
        <f ca="1">IFERROR(__xludf.DUMMYFUNCTION("""COMPUTED_VALUE"""),"800-746-7287")</f>
        <v>800-746-7287</v>
      </c>
      <c r="L155" s="1"/>
      <c r="M155" s="1" t="str">
        <f ca="1">IFERROR(__xludf.DUMMYFUNCTION("""COMPUTED_VALUE"""),"Schedule an appointment using the button below")</f>
        <v>Schedule an appointment using the button below</v>
      </c>
      <c r="N155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55" s="1" t="str">
        <f ca="1">IFERROR(__xludf.DUMMYFUNCTION("""COMPUTED_VALUE"""),"Yes")</f>
        <v>Yes</v>
      </c>
      <c r="P155" s="1" t="str">
        <f ca="1">IFERROR(__xludf.DUMMYFUNCTION("""COMPUTED_VALUE"""),"21774")</f>
        <v>21774</v>
      </c>
      <c r="Q155" s="1" t="str">
        <f ca="1">IFERROR(__xludf.DUMMYFUNCTION("""COMPUTED_VALUE"""),"Yes")</f>
        <v>Yes</v>
      </c>
      <c r="R155" s="1" t="str">
        <f ca="1">IFERROR(__xludf.DUMMYFUNCTION("""COMPUTED_VALUE"""),"No")</f>
        <v>No</v>
      </c>
      <c r="S155" s="1" t="str">
        <f ca="1">IFERROR(__xludf.DUMMYFUNCTION("""COMPUTED_VALUE"""),"No")</f>
        <v>No</v>
      </c>
      <c r="T155" s="1" t="str">
        <f ca="1">IFERROR(__xludf.DUMMYFUNCTION("""COMPUTED_VALUE"""),"Yes")</f>
        <v>Yes</v>
      </c>
    </row>
    <row r="156" spans="1:20" ht="13" x14ac:dyDescent="0.6">
      <c r="A156" s="1" t="str">
        <f ca="1">IFERROR(__xludf.DUMMYFUNCTION("""COMPUTED_VALUE"""),"Frederick")</f>
        <v>Frederick</v>
      </c>
      <c r="B156" s="1" t="str">
        <f ca="1">IFERROR(__xludf.DUMMYFUNCTION("""COMPUTED_VALUE"""),"Frederick")</f>
        <v>Frederick</v>
      </c>
      <c r="C156" s="1" t="str">
        <f ca="1">IFERROR(__xludf.DUMMYFUNCTION("""COMPUTED_VALUE"""),"Weis Pharmacy Frederick")</f>
        <v>Weis Pharmacy Frederick</v>
      </c>
      <c r="D156" s="1" t="str">
        <f ca="1">IFERROR(__xludf.DUMMYFUNCTION("""COMPUTED_VALUE"""),"199 Thomas Johnson Drive Frederick, MD 21702")</f>
        <v>199 Thomas Johnson Drive Frederick, MD 21702</v>
      </c>
      <c r="E156" s="1" t="str">
        <f ca="1">IFERROR(__xludf.DUMMYFUNCTION("""COMPUTED_VALUE"""),"Yes")</f>
        <v>Yes</v>
      </c>
      <c r="F156" s="1" t="str">
        <f ca="1">IFERROR(__xludf.DUMMYFUNCTION("""COMPUTED_VALUE"""),"Pharmacy")</f>
        <v>Pharmacy</v>
      </c>
      <c r="G156" s="1"/>
      <c r="H156" s="1"/>
      <c r="I156" s="2" t="str">
        <f ca="1">IFERROR(__xludf.DUMMYFUNCTION("""COMPUTED_VALUE"""),"https://www.weismarkets.com/pharmacy-services")</f>
        <v>https://www.weismarkets.com/pharmacy-services</v>
      </c>
      <c r="J156" s="1"/>
      <c r="K156" s="1"/>
      <c r="L156" s="1"/>
      <c r="M156" s="1" t="str">
        <f ca="1">IFERROR(__xludf.DUMMYFUNCTION("""COMPUTED_VALUE"""),"Schedule an appointment using the button below")</f>
        <v>Schedule an appointment using the button below</v>
      </c>
      <c r="N156" s="1"/>
      <c r="O156" s="1" t="str">
        <f ca="1">IFERROR(__xludf.DUMMYFUNCTION("""COMPUTED_VALUE"""),"Yes")</f>
        <v>Yes</v>
      </c>
      <c r="P156" s="1" t="str">
        <f ca="1">IFERROR(__xludf.DUMMYFUNCTION("""COMPUTED_VALUE"""),"21702")</f>
        <v>21702</v>
      </c>
      <c r="Q156" s="1" t="str">
        <f ca="1">IFERROR(__xludf.DUMMYFUNCTION("""COMPUTED_VALUE"""),"Yes")</f>
        <v>Yes</v>
      </c>
      <c r="R156" s="1" t="str">
        <f ca="1">IFERROR(__xludf.DUMMYFUNCTION("""COMPUTED_VALUE"""),"Yes")</f>
        <v>Yes</v>
      </c>
      <c r="S156" s="1" t="str">
        <f ca="1">IFERROR(__xludf.DUMMYFUNCTION("""COMPUTED_VALUE"""),"Yes")</f>
        <v>Yes</v>
      </c>
      <c r="T156" s="1" t="str">
        <f ca="1">IFERROR(__xludf.DUMMYFUNCTION("""COMPUTED_VALUE"""),"Yes")</f>
        <v>Yes</v>
      </c>
    </row>
    <row r="157" spans="1:20" ht="13" x14ac:dyDescent="0.6">
      <c r="A157" s="1" t="str">
        <f ca="1">IFERROR(__xludf.DUMMYFUNCTION("""COMPUTED_VALUE"""),"Garrett")</f>
        <v>Garrett</v>
      </c>
      <c r="B157" s="1" t="str">
        <f ca="1">IFERROR(__xludf.DUMMYFUNCTION("""COMPUTED_VALUE"""),"Oakland")</f>
        <v>Oakland</v>
      </c>
      <c r="C157" s="1" t="str">
        <f ca="1">IFERROR(__xludf.DUMMYFUNCTION("""COMPUTED_VALUE"""),"Walmart Oakland")</f>
        <v>Walmart Oakland</v>
      </c>
      <c r="D157" s="1" t="str">
        <f ca="1">IFERROR(__xludf.DUMMYFUNCTION("""COMPUTED_VALUE"""),"13164 Garrett Hwy Oakland MD 21550-1117")</f>
        <v>13164 Garrett Hwy Oakland MD 21550-1117</v>
      </c>
      <c r="E157" s="1" t="str">
        <f ca="1">IFERROR(__xludf.DUMMYFUNCTION("""COMPUTED_VALUE"""),"Yes")</f>
        <v>Yes</v>
      </c>
      <c r="F157" s="1" t="str">
        <f ca="1">IFERROR(__xludf.DUMMYFUNCTION("""COMPUTED_VALUE"""),"Pharmacy")</f>
        <v>Pharmacy</v>
      </c>
      <c r="G157" s="1"/>
      <c r="H157" s="1"/>
      <c r="I157" s="2" t="str">
        <f ca="1">IFERROR(__xludf.DUMMYFUNCTION("""COMPUTED_VALUE"""),"https://walmart.com/covidvaccine")</f>
        <v>https://walmart.com/covidvaccine</v>
      </c>
      <c r="J157" s="1"/>
      <c r="K157" s="1" t="str">
        <f ca="1">IFERROR(__xludf.DUMMYFUNCTION("""COMPUTED_VALUE"""),"301-334-9129")</f>
        <v>301-334-9129</v>
      </c>
      <c r="L157" s="1"/>
      <c r="M157" s="1" t="str">
        <f ca="1">IFERROR(__xludf.DUMMYFUNCTION("""COMPUTED_VALUE"""),"Schedule an appointment using the button below")</f>
        <v>Schedule an appointment using the button below</v>
      </c>
      <c r="N157" s="1"/>
      <c r="O157" s="1"/>
      <c r="P157" s="1" t="str">
        <f ca="1">IFERROR(__xludf.DUMMYFUNCTION("""COMPUTED_VALUE"""),"-1117")</f>
        <v>-1117</v>
      </c>
      <c r="Q157" s="1" t="str">
        <f ca="1">IFERROR(__xludf.DUMMYFUNCTION("""COMPUTED_VALUE"""),"Yes")</f>
        <v>Yes</v>
      </c>
      <c r="R157" s="1" t="str">
        <f ca="1">IFERROR(__xludf.DUMMYFUNCTION("""COMPUTED_VALUE"""),"Yes")</f>
        <v>Yes</v>
      </c>
      <c r="S157" s="1" t="str">
        <f ca="1">IFERROR(__xludf.DUMMYFUNCTION("""COMPUTED_VALUE"""),"No")</f>
        <v>No</v>
      </c>
      <c r="T157" s="1" t="str">
        <f ca="1">IFERROR(__xludf.DUMMYFUNCTION("""COMPUTED_VALUE"""),"Yes")</f>
        <v>Yes</v>
      </c>
    </row>
    <row r="158" spans="1:20" ht="13" x14ac:dyDescent="0.6">
      <c r="A158" s="1" t="str">
        <f ca="1">IFERROR(__xludf.DUMMYFUNCTION("""COMPUTED_VALUE"""),"Garrett")</f>
        <v>Garrett</v>
      </c>
      <c r="B158" s="1" t="str">
        <f ca="1">IFERROR(__xludf.DUMMYFUNCTION("""COMPUTED_VALUE"""),"Oakland")</f>
        <v>Oakland</v>
      </c>
      <c r="C158" s="1" t="str">
        <f ca="1">IFERROR(__xludf.DUMMYFUNCTION("""COMPUTED_VALUE"""),"Walgreens Oakland")</f>
        <v>Walgreens Oakland</v>
      </c>
      <c r="D158" s="1" t="str">
        <f ca="1">IFERROR(__xludf.DUMMYFUNCTION("""COMPUTED_VALUE"""),"209 N 3rd St Oakland MD 21550")</f>
        <v>209 N 3rd St Oakland MD 21550</v>
      </c>
      <c r="E158" s="1" t="str">
        <f ca="1">IFERROR(__xludf.DUMMYFUNCTION("""COMPUTED_VALUE"""),"Yes")</f>
        <v>Yes</v>
      </c>
      <c r="F158" s="1" t="str">
        <f ca="1">IFERROR(__xludf.DUMMYFUNCTION("""COMPUTED_VALUE"""),"Pharmacy")</f>
        <v>Pharmacy</v>
      </c>
      <c r="G158" s="1"/>
      <c r="H158" s="1"/>
      <c r="I158" s="2" t="str">
        <f ca="1">IFERROR(__xludf.DUMMYFUNCTION("""COMPUTED_VALUE"""),"https://www.walgreens.com/schedulevaccine")</f>
        <v>https://www.walgreens.com/schedulevaccine</v>
      </c>
      <c r="J158" s="1"/>
      <c r="K158" s="1" t="str">
        <f ca="1">IFERROR(__xludf.DUMMYFUNCTION("""COMPUTED_VALUE"""),"1-800-WALGREENS")</f>
        <v>1-800-WALGREENS</v>
      </c>
      <c r="L158" s="1"/>
      <c r="M158" s="1" t="str">
        <f ca="1">IFERROR(__xludf.DUMMYFUNCTION("""COMPUTED_VALUE"""),"Schedule an appointment using the button below")</f>
        <v>Schedule an appointment using the button below</v>
      </c>
      <c r="N158" s="1"/>
      <c r="O158" s="1" t="str">
        <f ca="1">IFERROR(__xludf.DUMMYFUNCTION("""COMPUTED_VALUE"""),"Yes")</f>
        <v>Yes</v>
      </c>
      <c r="P158" s="1" t="str">
        <f ca="1">IFERROR(__xludf.DUMMYFUNCTION("""COMPUTED_VALUE"""),"21550")</f>
        <v>21550</v>
      </c>
      <c r="Q158" s="1" t="str">
        <f ca="1">IFERROR(__xludf.DUMMYFUNCTION("""COMPUTED_VALUE"""),"Yes")</f>
        <v>Yes</v>
      </c>
      <c r="R158" s="1" t="str">
        <f ca="1">IFERROR(__xludf.DUMMYFUNCTION("""COMPUTED_VALUE"""),"Yes")</f>
        <v>Yes</v>
      </c>
      <c r="S158" s="1" t="str">
        <f ca="1">IFERROR(__xludf.DUMMYFUNCTION("""COMPUTED_VALUE"""),"No")</f>
        <v>No</v>
      </c>
      <c r="T158" s="1" t="str">
        <f ca="1">IFERROR(__xludf.DUMMYFUNCTION("""COMPUTED_VALUE"""),"Yes")</f>
        <v>Yes</v>
      </c>
    </row>
    <row r="159" spans="1:20" ht="13" x14ac:dyDescent="0.6">
      <c r="A159" s="1" t="str">
        <f ca="1">IFERROR(__xludf.DUMMYFUNCTION("""COMPUTED_VALUE"""),"Harford")</f>
        <v>Harford</v>
      </c>
      <c r="B159" s="1" t="str">
        <f ca="1">IFERROR(__xludf.DUMMYFUNCTION("""COMPUTED_VALUE"""),"Edgewood")</f>
        <v>Edgewood</v>
      </c>
      <c r="C159" s="1" t="str">
        <f ca="1">IFERROR(__xludf.DUMMYFUNCTION("""COMPUTED_VALUE"""),"Walgreens Edgewood")</f>
        <v>Walgreens Edgewood</v>
      </c>
      <c r="D159" s="1" t="str">
        <f ca="1">IFERROR(__xludf.DUMMYFUNCTION("""COMPUTED_VALUE"""),"1930 Pulaski Hwy Edgewood MD 21040")</f>
        <v>1930 Pulaski Hwy Edgewood MD 21040</v>
      </c>
      <c r="E159" s="1" t="str">
        <f ca="1">IFERROR(__xludf.DUMMYFUNCTION("""COMPUTED_VALUE"""),"Yes")</f>
        <v>Yes</v>
      </c>
      <c r="F159" s="1" t="str">
        <f ca="1">IFERROR(__xludf.DUMMYFUNCTION("""COMPUTED_VALUE"""),"Pharmacy")</f>
        <v>Pharmacy</v>
      </c>
      <c r="G159" s="1"/>
      <c r="H159" s="1"/>
      <c r="I159" s="2" t="str">
        <f ca="1">IFERROR(__xludf.DUMMYFUNCTION("""COMPUTED_VALUE"""),"https://www.walgreens.com/schedulevaccine")</f>
        <v>https://www.walgreens.com/schedulevaccine</v>
      </c>
      <c r="J159" s="1"/>
      <c r="K159" s="1" t="str">
        <f ca="1">IFERROR(__xludf.DUMMYFUNCTION("""COMPUTED_VALUE"""),"1-800-WALGREENS")</f>
        <v>1-800-WALGREENS</v>
      </c>
      <c r="L159" s="1"/>
      <c r="M159" s="1" t="str">
        <f ca="1">IFERROR(__xludf.DUMMYFUNCTION("""COMPUTED_VALUE"""),"Schedule an appointment using the button below")</f>
        <v>Schedule an appointment using the button below</v>
      </c>
      <c r="N159" s="1"/>
      <c r="O159" s="1"/>
      <c r="P159" s="1" t="str">
        <f ca="1">IFERROR(__xludf.DUMMYFUNCTION("""COMPUTED_VALUE"""),"21040")</f>
        <v>21040</v>
      </c>
      <c r="Q159" s="1" t="str">
        <f ca="1">IFERROR(__xludf.DUMMYFUNCTION("""COMPUTED_VALUE"""),"Yes")</f>
        <v>Yes</v>
      </c>
      <c r="R159" s="1" t="str">
        <f ca="1">IFERROR(__xludf.DUMMYFUNCTION("""COMPUTED_VALUE"""),"No")</f>
        <v>No</v>
      </c>
      <c r="S159" s="1" t="str">
        <f ca="1">IFERROR(__xludf.DUMMYFUNCTION("""COMPUTED_VALUE"""),"No")</f>
        <v>No</v>
      </c>
      <c r="T159" s="1" t="str">
        <f ca="1">IFERROR(__xludf.DUMMYFUNCTION("""COMPUTED_VALUE"""),"Yes")</f>
        <v>Yes</v>
      </c>
    </row>
    <row r="160" spans="1:20" ht="13" x14ac:dyDescent="0.6">
      <c r="A160" s="1" t="str">
        <f ca="1">IFERROR(__xludf.DUMMYFUNCTION("""COMPUTED_VALUE"""),"Harford")</f>
        <v>Harford</v>
      </c>
      <c r="B160" s="1" t="str">
        <f ca="1">IFERROR(__xludf.DUMMYFUNCTION("""COMPUTED_VALUE"""),"Aberdeen")</f>
        <v>Aberdeen</v>
      </c>
      <c r="C160" s="1" t="str">
        <f ca="1">IFERROR(__xludf.DUMMYFUNCTION("""COMPUTED_VALUE"""),"Walgreens Aberdeen")</f>
        <v>Walgreens Aberdeen</v>
      </c>
      <c r="D160" s="1" t="str">
        <f ca="1">IFERROR(__xludf.DUMMYFUNCTION("""COMPUTED_VALUE"""),"950 Beards Hill Rd Aberdeen MD 21001")</f>
        <v>950 Beards Hill Rd Aberdeen MD 21001</v>
      </c>
      <c r="E160" s="1" t="str">
        <f ca="1">IFERROR(__xludf.DUMMYFUNCTION("""COMPUTED_VALUE"""),"Yes")</f>
        <v>Yes</v>
      </c>
      <c r="F160" s="1" t="str">
        <f ca="1">IFERROR(__xludf.DUMMYFUNCTION("""COMPUTED_VALUE"""),"Pharmacy")</f>
        <v>Pharmacy</v>
      </c>
      <c r="G160" s="1"/>
      <c r="H160" s="1"/>
      <c r="I160" s="2" t="str">
        <f ca="1">IFERROR(__xludf.DUMMYFUNCTION("""COMPUTED_VALUE"""),"https://www.walgreens.com/schedulevaccine")</f>
        <v>https://www.walgreens.com/schedulevaccine</v>
      </c>
      <c r="J160" s="1"/>
      <c r="K160" s="1" t="str">
        <f ca="1">IFERROR(__xludf.DUMMYFUNCTION("""COMPUTED_VALUE"""),"1-800-WALGREENS")</f>
        <v>1-800-WALGREENS</v>
      </c>
      <c r="L160" s="1"/>
      <c r="M160" s="1" t="str">
        <f ca="1">IFERROR(__xludf.DUMMYFUNCTION("""COMPUTED_VALUE"""),"Schedule an appointment using the button below")</f>
        <v>Schedule an appointment using the button below</v>
      </c>
      <c r="N160" s="1"/>
      <c r="O160" s="1"/>
      <c r="P160" s="1" t="str">
        <f ca="1">IFERROR(__xludf.DUMMYFUNCTION("""COMPUTED_VALUE"""),"21001")</f>
        <v>21001</v>
      </c>
      <c r="Q160" s="1" t="str">
        <f ca="1">IFERROR(__xludf.DUMMYFUNCTION("""COMPUTED_VALUE"""),"Yes")</f>
        <v>Yes</v>
      </c>
      <c r="R160" s="1" t="str">
        <f ca="1">IFERROR(__xludf.DUMMYFUNCTION("""COMPUTED_VALUE"""),"No")</f>
        <v>No</v>
      </c>
      <c r="S160" s="1" t="str">
        <f ca="1">IFERROR(__xludf.DUMMYFUNCTION("""COMPUTED_VALUE"""),"No")</f>
        <v>No</v>
      </c>
      <c r="T160" s="1" t="str">
        <f ca="1">IFERROR(__xludf.DUMMYFUNCTION("""COMPUTED_VALUE"""),"Yes")</f>
        <v>Yes</v>
      </c>
    </row>
    <row r="161" spans="1:20" ht="13" x14ac:dyDescent="0.6">
      <c r="A161" s="1" t="str">
        <f ca="1">IFERROR(__xludf.DUMMYFUNCTION("""COMPUTED_VALUE"""),"Harford")</f>
        <v>Harford</v>
      </c>
      <c r="B161" s="1" t="str">
        <f ca="1">IFERROR(__xludf.DUMMYFUNCTION("""COMPUTED_VALUE"""),"Bel Air")</f>
        <v>Bel Air</v>
      </c>
      <c r="C161" s="1" t="str">
        <f ca="1">IFERROR(__xludf.DUMMYFUNCTION("""COMPUTED_VALUE"""),"Walgreens Bel Air")</f>
        <v>Walgreens Bel Air</v>
      </c>
      <c r="D161" s="1" t="str">
        <f ca="1">IFERROR(__xludf.DUMMYFUNCTION("""COMPUTED_VALUE"""),"1600 E Churchville Rd Bel Air MD 21015")</f>
        <v>1600 E Churchville Rd Bel Air MD 21015</v>
      </c>
      <c r="E161" s="1" t="str">
        <f ca="1">IFERROR(__xludf.DUMMYFUNCTION("""COMPUTED_VALUE"""),"Yes")</f>
        <v>Yes</v>
      </c>
      <c r="F161" s="1" t="str">
        <f ca="1">IFERROR(__xludf.DUMMYFUNCTION("""COMPUTED_VALUE"""),"Pharmacy")</f>
        <v>Pharmacy</v>
      </c>
      <c r="G161" s="1"/>
      <c r="H161" s="1"/>
      <c r="I161" s="2" t="str">
        <f ca="1">IFERROR(__xludf.DUMMYFUNCTION("""COMPUTED_VALUE"""),"https://www.walgreens.com/schedulevaccine")</f>
        <v>https://www.walgreens.com/schedulevaccine</v>
      </c>
      <c r="J161" s="1"/>
      <c r="K161" s="1" t="str">
        <f ca="1">IFERROR(__xludf.DUMMYFUNCTION("""COMPUTED_VALUE"""),"1-800-WALGREENS")</f>
        <v>1-800-WALGREENS</v>
      </c>
      <c r="L161" s="1"/>
      <c r="M161" s="1" t="str">
        <f ca="1">IFERROR(__xludf.DUMMYFUNCTION("""COMPUTED_VALUE"""),"Schedule an appointment using the button below")</f>
        <v>Schedule an appointment using the button below</v>
      </c>
      <c r="N161" s="1"/>
      <c r="O161" s="1" t="str">
        <f ca="1">IFERROR(__xludf.DUMMYFUNCTION("""COMPUTED_VALUE"""),"Yes")</f>
        <v>Yes</v>
      </c>
      <c r="P161" s="1" t="str">
        <f ca="1">IFERROR(__xludf.DUMMYFUNCTION("""COMPUTED_VALUE"""),"21015")</f>
        <v>21015</v>
      </c>
      <c r="Q161" s="1" t="str">
        <f ca="1">IFERROR(__xludf.DUMMYFUNCTION("""COMPUTED_VALUE"""),"Yes")</f>
        <v>Yes</v>
      </c>
      <c r="R161" s="1" t="str">
        <f ca="1">IFERROR(__xludf.DUMMYFUNCTION("""COMPUTED_VALUE"""),"Yes")</f>
        <v>Yes</v>
      </c>
      <c r="S161" s="1" t="str">
        <f ca="1">IFERROR(__xludf.DUMMYFUNCTION("""COMPUTED_VALUE"""),"No")</f>
        <v>No</v>
      </c>
      <c r="T161" s="1" t="str">
        <f ca="1">IFERROR(__xludf.DUMMYFUNCTION("""COMPUTED_VALUE"""),"Yes")</f>
        <v>Yes</v>
      </c>
    </row>
    <row r="162" spans="1:20" ht="13" x14ac:dyDescent="0.6">
      <c r="A162" s="1" t="str">
        <f ca="1">IFERROR(__xludf.DUMMYFUNCTION("""COMPUTED_VALUE"""),"Harford")</f>
        <v>Harford</v>
      </c>
      <c r="B162" s="1" t="str">
        <f ca="1">IFERROR(__xludf.DUMMYFUNCTION("""COMPUTED_VALUE"""),"Abingdon")</f>
        <v>Abingdon</v>
      </c>
      <c r="C162" s="1" t="str">
        <f ca="1">IFERROR(__xludf.DUMMYFUNCTION("""COMPUTED_VALUE"""),"Walmart Abingdon")</f>
        <v>Walmart Abingdon</v>
      </c>
      <c r="D162" s="1" t="str">
        <f ca="1">IFERROR(__xludf.DUMMYFUNCTION("""COMPUTED_VALUE"""),"401 Constant Friendship Blvd Abingdon MD 21009")</f>
        <v>401 Constant Friendship Blvd Abingdon MD 21009</v>
      </c>
      <c r="E162" s="1" t="str">
        <f ca="1">IFERROR(__xludf.DUMMYFUNCTION("""COMPUTED_VALUE"""),"Yes")</f>
        <v>Yes</v>
      </c>
      <c r="F162" s="1" t="str">
        <f ca="1">IFERROR(__xludf.DUMMYFUNCTION("""COMPUTED_VALUE"""),"Pharmacy")</f>
        <v>Pharmacy</v>
      </c>
      <c r="G162" s="1"/>
      <c r="H162" s="1"/>
      <c r="I162" s="2" t="str">
        <f ca="1">IFERROR(__xludf.DUMMYFUNCTION("""COMPUTED_VALUE"""),"https://walmart.com/covidvaccine")</f>
        <v>https://walmart.com/covidvaccine</v>
      </c>
      <c r="J162" s="1"/>
      <c r="K162" s="1" t="str">
        <f ca="1">IFERROR(__xludf.DUMMYFUNCTION("""COMPUTED_VALUE"""),"410-569-9406")</f>
        <v>410-569-9406</v>
      </c>
      <c r="L162" s="1"/>
      <c r="M162" s="1" t="str">
        <f ca="1">IFERROR(__xludf.DUMMYFUNCTION("""COMPUTED_VALUE"""),"Schedule an appointment using the button below")</f>
        <v>Schedule an appointment using the button below</v>
      </c>
      <c r="N162" s="1"/>
      <c r="O162" s="1"/>
      <c r="P162" s="1" t="str">
        <f ca="1">IFERROR(__xludf.DUMMYFUNCTION("""COMPUTED_VALUE"""),"21009")</f>
        <v>21009</v>
      </c>
      <c r="Q162" s="1" t="str">
        <f ca="1">IFERROR(__xludf.DUMMYFUNCTION("""COMPUTED_VALUE"""),"Yes")</f>
        <v>Yes</v>
      </c>
      <c r="R162" s="1" t="str">
        <f ca="1">IFERROR(__xludf.DUMMYFUNCTION("""COMPUTED_VALUE"""),"Yes")</f>
        <v>Yes</v>
      </c>
      <c r="S162" s="1" t="str">
        <f ca="1">IFERROR(__xludf.DUMMYFUNCTION("""COMPUTED_VALUE"""),"Yes")</f>
        <v>Yes</v>
      </c>
      <c r="T162" s="1" t="str">
        <f ca="1">IFERROR(__xludf.DUMMYFUNCTION("""COMPUTED_VALUE"""),"Yes")</f>
        <v>Yes</v>
      </c>
    </row>
    <row r="163" spans="1:20" ht="13" x14ac:dyDescent="0.6">
      <c r="A163" s="1" t="str">
        <f ca="1">IFERROR(__xludf.DUMMYFUNCTION("""COMPUTED_VALUE"""),"Harford")</f>
        <v>Harford</v>
      </c>
      <c r="B163" s="1" t="str">
        <f ca="1">IFERROR(__xludf.DUMMYFUNCTION("""COMPUTED_VALUE"""),"Forest Hill")</f>
        <v>Forest Hill</v>
      </c>
      <c r="C163" s="1" t="str">
        <f ca="1">IFERROR(__xludf.DUMMYFUNCTION("""COMPUTED_VALUE"""),"ShopRite Pharmacy of Forest Hill")</f>
        <v>ShopRite Pharmacy of Forest Hill</v>
      </c>
      <c r="D163" s="1" t="str">
        <f ca="1">IFERROR(__xludf.DUMMYFUNCTION("""COMPUTED_VALUE"""),"2101 Rock Spring Road  Forest Hill MD 21050")</f>
        <v>2101 Rock Spring Road  Forest Hill MD 21050</v>
      </c>
      <c r="E163" s="1" t="str">
        <f ca="1">IFERROR(__xludf.DUMMYFUNCTION("""COMPUTED_VALUE"""),"Yes")</f>
        <v>Yes</v>
      </c>
      <c r="F163" s="1" t="str">
        <f ca="1">IFERROR(__xludf.DUMMYFUNCTION("""COMPUTED_VALUE"""),"Pharmacy")</f>
        <v>Pharmacy</v>
      </c>
      <c r="G163" s="1"/>
      <c r="H163" s="1"/>
      <c r="I163" s="2" t="str">
        <f ca="1">IFERROR(__xludf.DUMMYFUNCTION("""COMPUTED_VALUE"""),"https://vaccines.shoprite.com/")</f>
        <v>https://vaccines.shoprite.com/</v>
      </c>
      <c r="J163" s="1"/>
      <c r="K163" s="1"/>
      <c r="L163" s="1"/>
      <c r="M163" s="1" t="str">
        <f ca="1">IFERROR(__xludf.DUMMYFUNCTION("""COMPUTED_VALUE"""),"Schedule an appointment using the button below")</f>
        <v>Schedule an appointment using the button below</v>
      </c>
      <c r="N163" s="1"/>
      <c r="O163" s="1" t="str">
        <f ca="1">IFERROR(__xludf.DUMMYFUNCTION("""COMPUTED_VALUE"""),"Yes")</f>
        <v>Yes</v>
      </c>
      <c r="P163" s="1" t="str">
        <f ca="1">IFERROR(__xludf.DUMMYFUNCTION("""COMPUTED_VALUE"""),"21050")</f>
        <v>21050</v>
      </c>
      <c r="Q163" s="1" t="str">
        <f ca="1">IFERROR(__xludf.DUMMYFUNCTION("""COMPUTED_VALUE"""),"Yes")</f>
        <v>Yes</v>
      </c>
      <c r="R163" s="1" t="str">
        <f ca="1">IFERROR(__xludf.DUMMYFUNCTION("""COMPUTED_VALUE"""),"Yes")</f>
        <v>Yes</v>
      </c>
      <c r="S163" s="1" t="str">
        <f ca="1">IFERROR(__xludf.DUMMYFUNCTION("""COMPUTED_VALUE"""),"Yes")</f>
        <v>Yes</v>
      </c>
      <c r="T163" s="1" t="str">
        <f ca="1">IFERROR(__xludf.DUMMYFUNCTION("""COMPUTED_VALUE"""),"Yes")</f>
        <v>Yes</v>
      </c>
    </row>
    <row r="164" spans="1:20" ht="13" x14ac:dyDescent="0.6">
      <c r="A164" s="1" t="str">
        <f ca="1">IFERROR(__xludf.DUMMYFUNCTION("""COMPUTED_VALUE"""),"Harford")</f>
        <v>Harford</v>
      </c>
      <c r="B164" s="1" t="str">
        <f ca="1">IFERROR(__xludf.DUMMYFUNCTION("""COMPUTED_VALUE"""),"Cardiff")</f>
        <v>Cardiff</v>
      </c>
      <c r="C164" s="1" t="str">
        <f ca="1">IFERROR(__xludf.DUMMYFUNCTION("""COMPUTED_VALUE"""),"ShopRite Pharmacy of Cardiff")</f>
        <v>ShopRite Pharmacy of Cardiff</v>
      </c>
      <c r="D164" s="1" t="str">
        <f ca="1">IFERROR(__xludf.DUMMYFUNCTION("""COMPUTED_VALUE"""),"1606 Dooley Road Cardiff  MD 21160")</f>
        <v>1606 Dooley Road Cardiff  MD 21160</v>
      </c>
      <c r="E164" s="1" t="str">
        <f ca="1">IFERROR(__xludf.DUMMYFUNCTION("""COMPUTED_VALUE"""),"Yes")</f>
        <v>Yes</v>
      </c>
      <c r="F164" s="1" t="str">
        <f ca="1">IFERROR(__xludf.DUMMYFUNCTION("""COMPUTED_VALUE"""),"Pharmacy")</f>
        <v>Pharmacy</v>
      </c>
      <c r="G164" s="1"/>
      <c r="H164" s="1"/>
      <c r="I164" s="2" t="str">
        <f ca="1">IFERROR(__xludf.DUMMYFUNCTION("""COMPUTED_VALUE"""),"https://vaccines.shoprite.com/")</f>
        <v>https://vaccines.shoprite.com/</v>
      </c>
      <c r="J164" s="1"/>
      <c r="K164" s="1"/>
      <c r="L164" s="1"/>
      <c r="M164" s="1" t="str">
        <f ca="1">IFERROR(__xludf.DUMMYFUNCTION("""COMPUTED_VALUE"""),"Schedule an appointment using the button below")</f>
        <v>Schedule an appointment using the button below</v>
      </c>
      <c r="N164" s="1"/>
      <c r="O164" s="1" t="str">
        <f ca="1">IFERROR(__xludf.DUMMYFUNCTION("""COMPUTED_VALUE"""),"Yes")</f>
        <v>Yes</v>
      </c>
      <c r="P164" s="1" t="str">
        <f ca="1">IFERROR(__xludf.DUMMYFUNCTION("""COMPUTED_VALUE"""),"21160")</f>
        <v>21160</v>
      </c>
      <c r="Q164" s="1" t="str">
        <f ca="1">IFERROR(__xludf.DUMMYFUNCTION("""COMPUTED_VALUE"""),"Yes")</f>
        <v>Yes</v>
      </c>
      <c r="R164" s="1" t="str">
        <f ca="1">IFERROR(__xludf.DUMMYFUNCTION("""COMPUTED_VALUE"""),"Yes")</f>
        <v>Yes</v>
      </c>
      <c r="S164" s="1" t="str">
        <f ca="1">IFERROR(__xludf.DUMMYFUNCTION("""COMPUTED_VALUE"""),"Yes")</f>
        <v>Yes</v>
      </c>
      <c r="T164" s="1" t="str">
        <f ca="1">IFERROR(__xludf.DUMMYFUNCTION("""COMPUTED_VALUE"""),"Yes")</f>
        <v>Yes</v>
      </c>
    </row>
    <row r="165" spans="1:20" ht="13" x14ac:dyDescent="0.6">
      <c r="A165" s="1" t="str">
        <f ca="1">IFERROR(__xludf.DUMMYFUNCTION("""COMPUTED_VALUE"""),"Harford")</f>
        <v>Harford</v>
      </c>
      <c r="B165" s="1" t="str">
        <f ca="1">IFERROR(__xludf.DUMMYFUNCTION("""COMPUTED_VALUE"""),"Bel Air")</f>
        <v>Bel Air</v>
      </c>
      <c r="C165" s="1" t="str">
        <f ca="1">IFERROR(__xludf.DUMMYFUNCTION("""COMPUTED_VALUE"""),"Weis Pharmacy #172")</f>
        <v>Weis Pharmacy #172</v>
      </c>
      <c r="D165" s="1" t="str">
        <f ca="1">IFERROR(__xludf.DUMMYFUNCTION("""COMPUTED_VALUE"""),"550 West Macphail Road Bel Air, MD 21014")</f>
        <v>550 West Macphail Road Bel Air, MD 21014</v>
      </c>
      <c r="E165" s="1" t="str">
        <f ca="1">IFERROR(__xludf.DUMMYFUNCTION("""COMPUTED_VALUE"""),"Yes")</f>
        <v>Yes</v>
      </c>
      <c r="F165" s="1" t="str">
        <f ca="1">IFERROR(__xludf.DUMMYFUNCTION("""COMPUTED_VALUE"""),"Pharmacy")</f>
        <v>Pharmacy</v>
      </c>
      <c r="G165" s="1"/>
      <c r="H165" s="1"/>
      <c r="I165" s="2" t="str">
        <f ca="1">IFERROR(__xludf.DUMMYFUNCTION("""COMPUTED_VALUE"""),"https://www.weismarkets.com/pharmacy-services")</f>
        <v>https://www.weismarkets.com/pharmacy-services</v>
      </c>
      <c r="J165" s="1"/>
      <c r="K165" s="1"/>
      <c r="L165" s="1"/>
      <c r="M165" s="1" t="str">
        <f ca="1">IFERROR(__xludf.DUMMYFUNCTION("""COMPUTED_VALUE"""),"Schedule an appointment using the button below")</f>
        <v>Schedule an appointment using the button below</v>
      </c>
      <c r="N165" s="1"/>
      <c r="O165" s="1" t="str">
        <f ca="1">IFERROR(__xludf.DUMMYFUNCTION("""COMPUTED_VALUE"""),"Yes")</f>
        <v>Yes</v>
      </c>
      <c r="P165" s="1" t="str">
        <f ca="1">IFERROR(__xludf.DUMMYFUNCTION("""COMPUTED_VALUE"""),"21014")</f>
        <v>21014</v>
      </c>
      <c r="Q165" s="1" t="str">
        <f ca="1">IFERROR(__xludf.DUMMYFUNCTION("""COMPUTED_VALUE"""),"Yes")</f>
        <v>Yes</v>
      </c>
      <c r="R165" s="1" t="str">
        <f ca="1">IFERROR(__xludf.DUMMYFUNCTION("""COMPUTED_VALUE"""),"Yes")</f>
        <v>Yes</v>
      </c>
      <c r="S165" s="1" t="str">
        <f ca="1">IFERROR(__xludf.DUMMYFUNCTION("""COMPUTED_VALUE"""),"Yes")</f>
        <v>Yes</v>
      </c>
      <c r="T165" s="1" t="str">
        <f ca="1">IFERROR(__xludf.DUMMYFUNCTION("""COMPUTED_VALUE"""),"Yes")</f>
        <v>Yes</v>
      </c>
    </row>
    <row r="166" spans="1:20" ht="13" x14ac:dyDescent="0.6">
      <c r="A166" s="1" t="str">
        <f ca="1">IFERROR(__xludf.DUMMYFUNCTION("""COMPUTED_VALUE"""),"Harford")</f>
        <v>Harford</v>
      </c>
      <c r="B166" s="1" t="str">
        <f ca="1">IFERROR(__xludf.DUMMYFUNCTION("""COMPUTED_VALUE"""),"Havre De Grace")</f>
        <v>Havre De Grace</v>
      </c>
      <c r="C166" s="1" t="str">
        <f ca="1">IFERROR(__xludf.DUMMYFUNCTION("""COMPUTED_VALUE"""),"Weis Pharmacy #193")</f>
        <v>Weis Pharmacy #193</v>
      </c>
      <c r="D166" s="1" t="str">
        <f ca="1">IFERROR(__xludf.DUMMYFUNCTION("""COMPUTED_VALUE"""),"943 Pulaski Highway Havre De Grace, MD 21078")</f>
        <v>943 Pulaski Highway Havre De Grace, MD 21078</v>
      </c>
      <c r="E166" s="1" t="str">
        <f ca="1">IFERROR(__xludf.DUMMYFUNCTION("""COMPUTED_VALUE"""),"Yes")</f>
        <v>Yes</v>
      </c>
      <c r="F166" s="1" t="str">
        <f ca="1">IFERROR(__xludf.DUMMYFUNCTION("""COMPUTED_VALUE"""),"Pharmacy")</f>
        <v>Pharmacy</v>
      </c>
      <c r="G166" s="1"/>
      <c r="H166" s="1"/>
      <c r="I166" s="2" t="str">
        <f ca="1">IFERROR(__xludf.DUMMYFUNCTION("""COMPUTED_VALUE"""),"https://www.weismarkets.com/pharmacy-services")</f>
        <v>https://www.weismarkets.com/pharmacy-services</v>
      </c>
      <c r="J166" s="1"/>
      <c r="K166" s="1"/>
      <c r="L166" s="1"/>
      <c r="M166" s="1" t="str">
        <f ca="1">IFERROR(__xludf.DUMMYFUNCTION("""COMPUTED_VALUE"""),"Schedule an appointment using the button below")</f>
        <v>Schedule an appointment using the button below</v>
      </c>
      <c r="N166" s="1"/>
      <c r="O166" s="1" t="str">
        <f ca="1">IFERROR(__xludf.DUMMYFUNCTION("""COMPUTED_VALUE"""),"Yes")</f>
        <v>Yes</v>
      </c>
      <c r="P166" s="1" t="str">
        <f ca="1">IFERROR(__xludf.DUMMYFUNCTION("""COMPUTED_VALUE"""),"21078")</f>
        <v>21078</v>
      </c>
      <c r="Q166" s="1" t="str">
        <f ca="1">IFERROR(__xludf.DUMMYFUNCTION("""COMPUTED_VALUE"""),"Yes")</f>
        <v>Yes</v>
      </c>
      <c r="R166" s="1" t="str">
        <f ca="1">IFERROR(__xludf.DUMMYFUNCTION("""COMPUTED_VALUE"""),"Yes")</f>
        <v>Yes</v>
      </c>
      <c r="S166" s="1" t="str">
        <f ca="1">IFERROR(__xludf.DUMMYFUNCTION("""COMPUTED_VALUE"""),"Yes")</f>
        <v>Yes</v>
      </c>
      <c r="T166" s="1" t="str">
        <f ca="1">IFERROR(__xludf.DUMMYFUNCTION("""COMPUTED_VALUE"""),"Yes")</f>
        <v>Yes</v>
      </c>
    </row>
    <row r="167" spans="1:20" ht="13" x14ac:dyDescent="0.6">
      <c r="A167" s="1" t="str">
        <f ca="1">IFERROR(__xludf.DUMMYFUNCTION("""COMPUTED_VALUE"""),"Harford")</f>
        <v>Harford</v>
      </c>
      <c r="B167" s="1" t="str">
        <f ca="1">IFERROR(__xludf.DUMMYFUNCTION("""COMPUTED_VALUE"""),"Abington")</f>
        <v>Abington</v>
      </c>
      <c r="C167" s="1" t="str">
        <f ca="1">IFERROR(__xludf.DUMMYFUNCTION("""COMPUTED_VALUE"""),"Wegman's Pharmacy  #053 Bel Air")</f>
        <v>Wegman's Pharmacy  #053 Bel Air</v>
      </c>
      <c r="D167" s="1" t="str">
        <f ca="1">IFERROR(__xludf.DUMMYFUNCTION("""COMPUTED_VALUE"""),"21 Wegmans Blvd Abington, MD 21009")</f>
        <v>21 Wegmans Blvd Abington, MD 21009</v>
      </c>
      <c r="E167" s="1" t="str">
        <f ca="1">IFERROR(__xludf.DUMMYFUNCTION("""COMPUTED_VALUE"""),"Yes")</f>
        <v>Yes</v>
      </c>
      <c r="F167" s="1" t="str">
        <f ca="1">IFERROR(__xludf.DUMMYFUNCTION("""COMPUTED_VALUE"""),"Pharmacy")</f>
        <v>Pharmacy</v>
      </c>
      <c r="G167" s="1"/>
      <c r="H167" s="1"/>
      <c r="I167" s="2" t="str">
        <f ca="1">IFERROR(__xludf.DUMMYFUNCTION("""COMPUTED_VALUE"""),"https://www.wegmans.com/covid-vaccine-registration/")</f>
        <v>https://www.wegmans.com/covid-vaccine-registration/</v>
      </c>
      <c r="J167" s="1"/>
      <c r="K167" s="1"/>
      <c r="L167" s="1"/>
      <c r="M167" s="1" t="str">
        <f ca="1">IFERROR(__xludf.DUMMYFUNCTION("""COMPUTED_VALUE"""),"Schedule an appointment using the button below")</f>
        <v>Schedule an appointment using the button below</v>
      </c>
      <c r="N167" s="1"/>
      <c r="O167" s="1" t="str">
        <f ca="1">IFERROR(__xludf.DUMMYFUNCTION("""COMPUTED_VALUE"""),"Yes")</f>
        <v>Yes</v>
      </c>
      <c r="P167" s="1" t="str">
        <f ca="1">IFERROR(__xludf.DUMMYFUNCTION("""COMPUTED_VALUE"""),"21009")</f>
        <v>21009</v>
      </c>
      <c r="Q167" s="1" t="str">
        <f ca="1">IFERROR(__xludf.DUMMYFUNCTION("""COMPUTED_VALUE"""),"Yes")</f>
        <v>Yes</v>
      </c>
      <c r="R167" s="1" t="str">
        <f ca="1">IFERROR(__xludf.DUMMYFUNCTION("""COMPUTED_VALUE"""),"Yes")</f>
        <v>Yes</v>
      </c>
      <c r="S167" s="1" t="str">
        <f ca="1">IFERROR(__xludf.DUMMYFUNCTION("""COMPUTED_VALUE"""),"No")</f>
        <v>No</v>
      </c>
      <c r="T167" s="1" t="str">
        <f ca="1">IFERROR(__xludf.DUMMYFUNCTION("""COMPUTED_VALUE"""),"Yes")</f>
        <v>Yes</v>
      </c>
    </row>
    <row r="168" spans="1:20" ht="13" x14ac:dyDescent="0.6">
      <c r="A168" s="1" t="str">
        <f ca="1">IFERROR(__xludf.DUMMYFUNCTION("""COMPUTED_VALUE"""),"Harford")</f>
        <v>Harford</v>
      </c>
      <c r="B168" s="1" t="str">
        <f ca="1">IFERROR(__xludf.DUMMYFUNCTION("""COMPUTED_VALUE"""),"Fallston")</f>
        <v>Fallston</v>
      </c>
      <c r="C168" s="1" t="str">
        <f ca="1">IFERROR(__xludf.DUMMYFUNCTION("""COMPUTED_VALUE"""),"Walmart Fallston")</f>
        <v>Walmart Fallston</v>
      </c>
      <c r="D168" s="1" t="str">
        <f ca="1">IFERROR(__xludf.DUMMYFUNCTION("""COMPUTED_VALUE"""),"303 Fallston Blvd Fallston, MD 21047")</f>
        <v>303 Fallston Blvd Fallston, MD 21047</v>
      </c>
      <c r="E168" s="1" t="str">
        <f ca="1">IFERROR(__xludf.DUMMYFUNCTION("""COMPUTED_VALUE"""),"Yes")</f>
        <v>Yes</v>
      </c>
      <c r="F168" s="1" t="str">
        <f ca="1">IFERROR(__xludf.DUMMYFUNCTION("""COMPUTED_VALUE"""),"Pharmacy")</f>
        <v>Pharmacy</v>
      </c>
      <c r="G168" s="1"/>
      <c r="H168" s="1"/>
      <c r="I168" s="2" t="str">
        <f ca="1">IFERROR(__xludf.DUMMYFUNCTION("""COMPUTED_VALUE"""),"https://walmart.com/covidvaccine")</f>
        <v>https://walmart.com/covidvaccine</v>
      </c>
      <c r="J168" s="1"/>
      <c r="K168" s="1" t="str">
        <f ca="1">IFERROR(__xludf.DUMMYFUNCTION("""COMPUTED_VALUE"""),"410-877-7573")</f>
        <v>410-877-7573</v>
      </c>
      <c r="L168" s="1"/>
      <c r="M168" s="1" t="str">
        <f ca="1">IFERROR(__xludf.DUMMYFUNCTION("""COMPUTED_VALUE"""),"Schedule an appointment using the button below")</f>
        <v>Schedule an appointment using the button below</v>
      </c>
      <c r="N168" s="1"/>
      <c r="O168" s="1" t="str">
        <f ca="1">IFERROR(__xludf.DUMMYFUNCTION("""COMPUTED_VALUE"""),"Yes")</f>
        <v>Yes</v>
      </c>
      <c r="P168" s="1" t="str">
        <f ca="1">IFERROR(__xludf.DUMMYFUNCTION("""COMPUTED_VALUE"""),"21047")</f>
        <v>21047</v>
      </c>
      <c r="Q168" s="1" t="str">
        <f ca="1">IFERROR(__xludf.DUMMYFUNCTION("""COMPUTED_VALUE"""),"Yes")</f>
        <v>Yes</v>
      </c>
      <c r="R168" s="1" t="str">
        <f ca="1">IFERROR(__xludf.DUMMYFUNCTION("""COMPUTED_VALUE"""),"Yes")</f>
        <v>Yes</v>
      </c>
      <c r="S168" s="1" t="str">
        <f ca="1">IFERROR(__xludf.DUMMYFUNCTION("""COMPUTED_VALUE"""),"Yes")</f>
        <v>Yes</v>
      </c>
      <c r="T168" s="1" t="str">
        <f ca="1">IFERROR(__xludf.DUMMYFUNCTION("""COMPUTED_VALUE"""),"Yes")</f>
        <v>Yes</v>
      </c>
    </row>
    <row r="169" spans="1:20" ht="13" x14ac:dyDescent="0.6">
      <c r="A169" s="1" t="str">
        <f ca="1">IFERROR(__xludf.DUMMYFUNCTION("""COMPUTED_VALUE"""),"Harford")</f>
        <v>Harford</v>
      </c>
      <c r="B169" s="1" t="str">
        <f ca="1">IFERROR(__xludf.DUMMYFUNCTION("""COMPUTED_VALUE"""),"Bel Air")</f>
        <v>Bel Air</v>
      </c>
      <c r="C169" s="1" t="str">
        <f ca="1">IFERROR(__xludf.DUMMYFUNCTION("""COMPUTED_VALUE"""),"CVS Bel Air")</f>
        <v>CVS Bel Air</v>
      </c>
      <c r="D169" s="1" t="str">
        <f ca="1">IFERROR(__xludf.DUMMYFUNCTION("""COMPUTED_VALUE"""),"580 Marketplace Drive, Bel Air, MD 21014")</f>
        <v>580 Marketplace Drive, Bel Air, MD 21014</v>
      </c>
      <c r="E169" s="1" t="str">
        <f ca="1">IFERROR(__xludf.DUMMYFUNCTION("""COMPUTED_VALUE"""),"Yes")</f>
        <v>Yes</v>
      </c>
      <c r="F169" s="1" t="str">
        <f ca="1">IFERROR(__xludf.DUMMYFUNCTION("""COMPUTED_VALUE"""),"Pharmacy")</f>
        <v>Pharmacy</v>
      </c>
      <c r="G169" s="1"/>
      <c r="H169" s="1"/>
      <c r="I169" s="2" t="str">
        <f ca="1">IFERROR(__xludf.DUMMYFUNCTION("""COMPUTED_VALUE"""),"https://www.cvs.com/immunizations/covid-19-vaccine")</f>
        <v>https://www.cvs.com/immunizations/covid-19-vaccine</v>
      </c>
      <c r="J169" s="1" t="str">
        <f ca="1">IFERROR(__xludf.DUMMYFUNCTION("""COMPUTED_VALUE"""),"Yes")</f>
        <v>Yes</v>
      </c>
      <c r="K169" s="1" t="str">
        <f ca="1">IFERROR(__xludf.DUMMYFUNCTION("""COMPUTED_VALUE"""),"800-746-7287")</f>
        <v>800-746-7287</v>
      </c>
      <c r="L169" s="1"/>
      <c r="M169" s="1" t="str">
        <f ca="1">IFERROR(__xludf.DUMMYFUNCTION("""COMPUTED_VALUE"""),"Schedule an appointment using the button below")</f>
        <v>Schedule an appointment using the button below</v>
      </c>
      <c r="N169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69" s="1" t="str">
        <f ca="1">IFERROR(__xludf.DUMMYFUNCTION("""COMPUTED_VALUE"""),"Yes")</f>
        <v>Yes</v>
      </c>
      <c r="P169" s="1" t="str">
        <f ca="1">IFERROR(__xludf.DUMMYFUNCTION("""COMPUTED_VALUE"""),"21014")</f>
        <v>21014</v>
      </c>
      <c r="Q169" s="1" t="str">
        <f ca="1">IFERROR(__xludf.DUMMYFUNCTION("""COMPUTED_VALUE"""),"Yes")</f>
        <v>Yes</v>
      </c>
      <c r="R169" s="1" t="str">
        <f ca="1">IFERROR(__xludf.DUMMYFUNCTION("""COMPUTED_VALUE"""),"No")</f>
        <v>No</v>
      </c>
      <c r="S169" s="1" t="str">
        <f ca="1">IFERROR(__xludf.DUMMYFUNCTION("""COMPUTED_VALUE"""),"No")</f>
        <v>No</v>
      </c>
      <c r="T169" s="1" t="str">
        <f ca="1">IFERROR(__xludf.DUMMYFUNCTION("""COMPUTED_VALUE"""),"Yes")</f>
        <v>Yes</v>
      </c>
    </row>
    <row r="170" spans="1:20" ht="13" x14ac:dyDescent="0.6">
      <c r="A170" s="1" t="str">
        <f ca="1">IFERROR(__xludf.DUMMYFUNCTION("""COMPUTED_VALUE"""),"Howard")</f>
        <v>Howard</v>
      </c>
      <c r="B170" s="1" t="str">
        <f ca="1">IFERROR(__xludf.DUMMYFUNCTION("""COMPUTED_VALUE"""),"Ellicott City")</f>
        <v>Ellicott City</v>
      </c>
      <c r="C170" s="1" t="str">
        <f ca="1">IFERROR(__xludf.DUMMYFUNCTION("""COMPUTED_VALUE"""),"Giant Food Ellicott City")</f>
        <v>Giant Food Ellicott City</v>
      </c>
      <c r="D170" s="1" t="str">
        <f ca="1">IFERROR(__xludf.DUMMYFUNCTION("""COMPUTED_VALUE"""),"9200 Baltimore National Pike, Suite A Ellicott City MD 21043")</f>
        <v>9200 Baltimore National Pike, Suite A Ellicott City MD 21043</v>
      </c>
      <c r="E170" s="1" t="str">
        <f ca="1">IFERROR(__xludf.DUMMYFUNCTION("""COMPUTED_VALUE"""),"Yes")</f>
        <v>Yes</v>
      </c>
      <c r="F170" s="1" t="str">
        <f ca="1">IFERROR(__xludf.DUMMYFUNCTION("""COMPUTED_VALUE"""),"Pharmacy")</f>
        <v>Pharmacy</v>
      </c>
      <c r="G170" s="1"/>
      <c r="H170" s="1"/>
      <c r="I170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70" s="1"/>
      <c r="K170" s="1" t="str">
        <f ca="1">IFERROR(__xludf.DUMMYFUNCTION("""COMPUTED_VALUE"""),"410-461-3178")</f>
        <v>410-461-3178</v>
      </c>
      <c r="L170" s="1"/>
      <c r="M170" s="1" t="str">
        <f ca="1">IFERROR(__xludf.DUMMYFUNCTION("""COMPUTED_VALUE"""),"Schedule an appointment using the button below")</f>
        <v>Schedule an appointment using the button below</v>
      </c>
      <c r="N170" s="1"/>
      <c r="O170" s="1" t="str">
        <f ca="1">IFERROR(__xludf.DUMMYFUNCTION("""COMPUTED_VALUE"""),"Yes")</f>
        <v>Yes</v>
      </c>
      <c r="P170" s="1" t="str">
        <f ca="1">IFERROR(__xludf.DUMMYFUNCTION("""COMPUTED_VALUE"""),"21043")</f>
        <v>21043</v>
      </c>
      <c r="Q170" s="1" t="str">
        <f ca="1">IFERROR(__xludf.DUMMYFUNCTION("""COMPUTED_VALUE"""),"No")</f>
        <v>No</v>
      </c>
      <c r="R170" s="1" t="str">
        <f ca="1">IFERROR(__xludf.DUMMYFUNCTION("""COMPUTED_VALUE"""),"No")</f>
        <v>No</v>
      </c>
      <c r="S170" s="1" t="str">
        <f ca="1">IFERROR(__xludf.DUMMYFUNCTION("""COMPUTED_VALUE"""),"No")</f>
        <v>No</v>
      </c>
      <c r="T170" s="1" t="str">
        <f ca="1">IFERROR(__xludf.DUMMYFUNCTION("""COMPUTED_VALUE"""),"Yes")</f>
        <v>Yes</v>
      </c>
    </row>
    <row r="171" spans="1:20" ht="13" x14ac:dyDescent="0.6">
      <c r="A171" s="1" t="str">
        <f ca="1">IFERROR(__xludf.DUMMYFUNCTION("""COMPUTED_VALUE"""),"Howard")</f>
        <v>Howard</v>
      </c>
      <c r="B171" s="1" t="str">
        <f ca="1">IFERROR(__xludf.DUMMYFUNCTION("""COMPUTED_VALUE"""),"Columbia")</f>
        <v>Columbia</v>
      </c>
      <c r="C171" s="1" t="str">
        <f ca="1">IFERROR(__xludf.DUMMYFUNCTION("""COMPUTED_VALUE"""),"Walgreens Columbia")</f>
        <v>Walgreens Columbia</v>
      </c>
      <c r="D171" s="1" t="str">
        <f ca="1">IFERROR(__xludf.DUMMYFUNCTION("""COMPUTED_VALUE"""),"5585 Twin Knolls Rd Columbia MD 21045")</f>
        <v>5585 Twin Knolls Rd Columbia MD 21045</v>
      </c>
      <c r="E171" s="1" t="str">
        <f ca="1">IFERROR(__xludf.DUMMYFUNCTION("""COMPUTED_VALUE"""),"Yes")</f>
        <v>Yes</v>
      </c>
      <c r="F171" s="1" t="str">
        <f ca="1">IFERROR(__xludf.DUMMYFUNCTION("""COMPUTED_VALUE"""),"Pharmacy")</f>
        <v>Pharmacy</v>
      </c>
      <c r="G171" s="1"/>
      <c r="H171" s="1"/>
      <c r="I171" s="2" t="str">
        <f ca="1">IFERROR(__xludf.DUMMYFUNCTION("""COMPUTED_VALUE"""),"https://www.walgreens.com/schedulevaccine")</f>
        <v>https://www.walgreens.com/schedulevaccine</v>
      </c>
      <c r="J171" s="1"/>
      <c r="K171" s="1" t="str">
        <f ca="1">IFERROR(__xludf.DUMMYFUNCTION("""COMPUTED_VALUE"""),"1-800-WALGREENS")</f>
        <v>1-800-WALGREENS</v>
      </c>
      <c r="L171" s="1"/>
      <c r="M171" s="1" t="str">
        <f ca="1">IFERROR(__xludf.DUMMYFUNCTION("""COMPUTED_VALUE"""),"Schedule an appointment using the button below")</f>
        <v>Schedule an appointment using the button below</v>
      </c>
      <c r="N171" s="1"/>
      <c r="O171" s="1" t="str">
        <f ca="1">IFERROR(__xludf.DUMMYFUNCTION("""COMPUTED_VALUE"""),"Yes")</f>
        <v>Yes</v>
      </c>
      <c r="P171" s="1" t="str">
        <f ca="1">IFERROR(__xludf.DUMMYFUNCTION("""COMPUTED_VALUE"""),"21045")</f>
        <v>21045</v>
      </c>
      <c r="Q171" s="1" t="str">
        <f ca="1">IFERROR(__xludf.DUMMYFUNCTION("""COMPUTED_VALUE"""),"Yes")</f>
        <v>Yes</v>
      </c>
      <c r="R171" s="1" t="str">
        <f ca="1">IFERROR(__xludf.DUMMYFUNCTION("""COMPUTED_VALUE"""),"No")</f>
        <v>No</v>
      </c>
      <c r="S171" s="1" t="str">
        <f ca="1">IFERROR(__xludf.DUMMYFUNCTION("""COMPUTED_VALUE"""),"No")</f>
        <v>No</v>
      </c>
      <c r="T171" s="1" t="str">
        <f ca="1">IFERROR(__xludf.DUMMYFUNCTION("""COMPUTED_VALUE"""),"Yes")</f>
        <v>Yes</v>
      </c>
    </row>
    <row r="172" spans="1:20" ht="13" x14ac:dyDescent="0.6">
      <c r="A172" s="1" t="str">
        <f ca="1">IFERROR(__xludf.DUMMYFUNCTION("""COMPUTED_VALUE"""),"Howard")</f>
        <v>Howard</v>
      </c>
      <c r="B172" s="1" t="str">
        <f ca="1">IFERROR(__xludf.DUMMYFUNCTION("""COMPUTED_VALUE"""),"Ellicott City")</f>
        <v>Ellicott City</v>
      </c>
      <c r="C172" s="1" t="str">
        <f ca="1">IFERROR(__xludf.DUMMYFUNCTION("""COMPUTED_VALUE"""),"Walgreens Ellicott City")</f>
        <v>Walgreens Ellicott City</v>
      </c>
      <c r="D172" s="1" t="str">
        <f ca="1">IFERROR(__xludf.DUMMYFUNCTION("""COMPUTED_VALUE"""),"10097 Baltimore National Pike Ellicott City MD 21042")</f>
        <v>10097 Baltimore National Pike Ellicott City MD 21042</v>
      </c>
      <c r="E172" s="1" t="str">
        <f ca="1">IFERROR(__xludf.DUMMYFUNCTION("""COMPUTED_VALUE"""),"Yes")</f>
        <v>Yes</v>
      </c>
      <c r="F172" s="1" t="str">
        <f ca="1">IFERROR(__xludf.DUMMYFUNCTION("""COMPUTED_VALUE"""),"Pharmacy")</f>
        <v>Pharmacy</v>
      </c>
      <c r="G172" s="1"/>
      <c r="H172" s="1"/>
      <c r="I172" s="2" t="str">
        <f ca="1">IFERROR(__xludf.DUMMYFUNCTION("""COMPUTED_VALUE"""),"https://www.walgreens.com/schedulevaccine")</f>
        <v>https://www.walgreens.com/schedulevaccine</v>
      </c>
      <c r="J172" s="1"/>
      <c r="K172" s="1" t="str">
        <f ca="1">IFERROR(__xludf.DUMMYFUNCTION("""COMPUTED_VALUE"""),"1-800-WALGREENS")</f>
        <v>1-800-WALGREENS</v>
      </c>
      <c r="L172" s="1"/>
      <c r="M172" s="1" t="str">
        <f ca="1">IFERROR(__xludf.DUMMYFUNCTION("""COMPUTED_VALUE"""),"Schedule an appointment using the button below")</f>
        <v>Schedule an appointment using the button below</v>
      </c>
      <c r="N172" s="1"/>
      <c r="O172" s="1" t="str">
        <f ca="1">IFERROR(__xludf.DUMMYFUNCTION("""COMPUTED_VALUE"""),"Yes")</f>
        <v>Yes</v>
      </c>
      <c r="P172" s="1" t="str">
        <f ca="1">IFERROR(__xludf.DUMMYFUNCTION("""COMPUTED_VALUE"""),"21042")</f>
        <v>21042</v>
      </c>
      <c r="Q172" s="1" t="str">
        <f ca="1">IFERROR(__xludf.DUMMYFUNCTION("""COMPUTED_VALUE"""),"Yes")</f>
        <v>Yes</v>
      </c>
      <c r="R172" s="1" t="str">
        <f ca="1">IFERROR(__xludf.DUMMYFUNCTION("""COMPUTED_VALUE"""),"No")</f>
        <v>No</v>
      </c>
      <c r="S172" s="1" t="str">
        <f ca="1">IFERROR(__xludf.DUMMYFUNCTION("""COMPUTED_VALUE"""),"No")</f>
        <v>No</v>
      </c>
      <c r="T172" s="1" t="str">
        <f ca="1">IFERROR(__xludf.DUMMYFUNCTION("""COMPUTED_VALUE"""),"Yes")</f>
        <v>Yes</v>
      </c>
    </row>
    <row r="173" spans="1:20" ht="13" x14ac:dyDescent="0.6">
      <c r="A173" s="1" t="str">
        <f ca="1">IFERROR(__xludf.DUMMYFUNCTION("""COMPUTED_VALUE"""),"Howard")</f>
        <v>Howard</v>
      </c>
      <c r="B173" s="1" t="str">
        <f ca="1">IFERROR(__xludf.DUMMYFUNCTION("""COMPUTED_VALUE"""),"Elkridge")</f>
        <v>Elkridge</v>
      </c>
      <c r="C173" s="1" t="str">
        <f ca="1">IFERROR(__xludf.DUMMYFUNCTION("""COMPUTED_VALUE"""),"Walgreens Elkridge")</f>
        <v>Walgreens Elkridge</v>
      </c>
      <c r="D173" s="1" t="str">
        <f ca="1">IFERROR(__xludf.DUMMYFUNCTION("""COMPUTED_VALUE"""),"7270 Montgomery Rd Elkridge Maryland 21075")</f>
        <v>7270 Montgomery Rd Elkridge Maryland 21075</v>
      </c>
      <c r="E173" s="1" t="str">
        <f ca="1">IFERROR(__xludf.DUMMYFUNCTION("""COMPUTED_VALUE"""),"Yes")</f>
        <v>Yes</v>
      </c>
      <c r="F173" s="1" t="str">
        <f ca="1">IFERROR(__xludf.DUMMYFUNCTION("""COMPUTED_VALUE"""),"Pharmacy")</f>
        <v>Pharmacy</v>
      </c>
      <c r="G173" s="1"/>
      <c r="H173" s="1"/>
      <c r="I173" s="2" t="str">
        <f ca="1">IFERROR(__xludf.DUMMYFUNCTION("""COMPUTED_VALUE"""),"https://www.walgreens.com/schedulevaccine")</f>
        <v>https://www.walgreens.com/schedulevaccine</v>
      </c>
      <c r="J173" s="1"/>
      <c r="K173" s="1" t="str">
        <f ca="1">IFERROR(__xludf.DUMMYFUNCTION("""COMPUTED_VALUE"""),"1-800-WALGREENS")</f>
        <v>1-800-WALGREENS</v>
      </c>
      <c r="L173" s="1"/>
      <c r="M173" s="1" t="str">
        <f ca="1">IFERROR(__xludf.DUMMYFUNCTION("""COMPUTED_VALUE"""),"Schedule an appointment using the button below")</f>
        <v>Schedule an appointment using the button below</v>
      </c>
      <c r="N173" s="1"/>
      <c r="O173" s="1" t="str">
        <f ca="1">IFERROR(__xludf.DUMMYFUNCTION("""COMPUTED_VALUE"""),"Yes")</f>
        <v>Yes</v>
      </c>
      <c r="P173" s="1" t="str">
        <f ca="1">IFERROR(__xludf.DUMMYFUNCTION("""COMPUTED_VALUE"""),"21075")</f>
        <v>21075</v>
      </c>
      <c r="Q173" s="1" t="str">
        <f ca="1">IFERROR(__xludf.DUMMYFUNCTION("""COMPUTED_VALUE"""),"Yes")</f>
        <v>Yes</v>
      </c>
      <c r="R173" s="1" t="str">
        <f ca="1">IFERROR(__xludf.DUMMYFUNCTION("""COMPUTED_VALUE"""),"No")</f>
        <v>No</v>
      </c>
      <c r="S173" s="1" t="str">
        <f ca="1">IFERROR(__xludf.DUMMYFUNCTION("""COMPUTED_VALUE"""),"No")</f>
        <v>No</v>
      </c>
      <c r="T173" s="1" t="str">
        <f ca="1">IFERROR(__xludf.DUMMYFUNCTION("""COMPUTED_VALUE"""),"Yes")</f>
        <v>Yes</v>
      </c>
    </row>
    <row r="174" spans="1:20" ht="13" x14ac:dyDescent="0.6">
      <c r="A174" s="1" t="str">
        <f ca="1">IFERROR(__xludf.DUMMYFUNCTION("""COMPUTED_VALUE"""),"Howard")</f>
        <v>Howard</v>
      </c>
      <c r="B174" s="1" t="str">
        <f ca="1">IFERROR(__xludf.DUMMYFUNCTION("""COMPUTED_VALUE"""),"Columbia")</f>
        <v>Columbia</v>
      </c>
      <c r="C174" s="1" t="str">
        <f ca="1">IFERROR(__xludf.DUMMYFUNCTION("""COMPUTED_VALUE"""),"Walmart Columbia")</f>
        <v>Walmart Columbia</v>
      </c>
      <c r="D174" s="1" t="str">
        <f ca="1">IFERROR(__xludf.DUMMYFUNCTION("""COMPUTED_VALUE"""),"6405 Dobbin Rd Columbia MD 21045")</f>
        <v>6405 Dobbin Rd Columbia MD 21045</v>
      </c>
      <c r="E174" s="1" t="str">
        <f ca="1">IFERROR(__xludf.DUMMYFUNCTION("""COMPUTED_VALUE"""),"Yes")</f>
        <v>Yes</v>
      </c>
      <c r="F174" s="1" t="str">
        <f ca="1">IFERROR(__xludf.DUMMYFUNCTION("""COMPUTED_VALUE"""),"Pharmacy")</f>
        <v>Pharmacy</v>
      </c>
      <c r="G174" s="1"/>
      <c r="H174" s="1"/>
      <c r="I174" s="2" t="str">
        <f ca="1">IFERROR(__xludf.DUMMYFUNCTION("""COMPUTED_VALUE"""),"https://walmart.com/covidvaccine")</f>
        <v>https://walmart.com/covidvaccine</v>
      </c>
      <c r="J174" s="1"/>
      <c r="K174" s="1" t="str">
        <f ca="1">IFERROR(__xludf.DUMMYFUNCTION("""COMPUTED_VALUE"""),"410-740-8554")</f>
        <v>410-740-8554</v>
      </c>
      <c r="L174" s="1"/>
      <c r="M174" s="1" t="str">
        <f ca="1">IFERROR(__xludf.DUMMYFUNCTION("""COMPUTED_VALUE"""),"Schedule an appointment using the button below")</f>
        <v>Schedule an appointment using the button below</v>
      </c>
      <c r="N174" s="1"/>
      <c r="O174" s="1" t="str">
        <f ca="1">IFERROR(__xludf.DUMMYFUNCTION("""COMPUTED_VALUE"""),"Yes")</f>
        <v>Yes</v>
      </c>
      <c r="P174" s="1" t="str">
        <f ca="1">IFERROR(__xludf.DUMMYFUNCTION("""COMPUTED_VALUE"""),"21045")</f>
        <v>21045</v>
      </c>
      <c r="Q174" s="1" t="str">
        <f ca="1">IFERROR(__xludf.DUMMYFUNCTION("""COMPUTED_VALUE"""),"Yes")</f>
        <v>Yes</v>
      </c>
      <c r="R174" s="1" t="str">
        <f ca="1">IFERROR(__xludf.DUMMYFUNCTION("""COMPUTED_VALUE"""),"Yes")</f>
        <v>Yes</v>
      </c>
      <c r="S174" s="1" t="str">
        <f ca="1">IFERROR(__xludf.DUMMYFUNCTION("""COMPUTED_VALUE"""),"No")</f>
        <v>No</v>
      </c>
      <c r="T174" s="1" t="str">
        <f ca="1">IFERROR(__xludf.DUMMYFUNCTION("""COMPUTED_VALUE"""),"Yes")</f>
        <v>Yes</v>
      </c>
    </row>
    <row r="175" spans="1:20" ht="13" x14ac:dyDescent="0.6">
      <c r="A175" s="1" t="str">
        <f ca="1">IFERROR(__xludf.DUMMYFUNCTION("""COMPUTED_VALUE"""),"Howard")</f>
        <v>Howard</v>
      </c>
      <c r="B175" s="1" t="str">
        <f ca="1">IFERROR(__xludf.DUMMYFUNCTION("""COMPUTED_VALUE"""),"Ellicott City")</f>
        <v>Ellicott City</v>
      </c>
      <c r="C175" s="1" t="str">
        <f ca="1">IFERROR(__xludf.DUMMYFUNCTION("""COMPUTED_VALUE"""),"Safeway Ellicott City")</f>
        <v>Safeway Ellicott City</v>
      </c>
      <c r="D175" s="1" t="str">
        <f ca="1">IFERROR(__xludf.DUMMYFUNCTION("""COMPUTED_VALUE"""),"10000 Baltimore Natl Pk Ellicott City MD 21043")</f>
        <v>10000 Baltimore Natl Pk Ellicott City MD 21043</v>
      </c>
      <c r="E175" s="1" t="str">
        <f ca="1">IFERROR(__xludf.DUMMYFUNCTION("""COMPUTED_VALUE"""),"Yes")</f>
        <v>Yes</v>
      </c>
      <c r="F175" s="1" t="str">
        <f ca="1">IFERROR(__xludf.DUMMYFUNCTION("""COMPUTED_VALUE"""),"Pharmacy")</f>
        <v>Pharmacy</v>
      </c>
      <c r="G175" s="1"/>
      <c r="H175" s="1"/>
      <c r="I175" s="2" t="str">
        <f ca="1">IFERROR(__xludf.DUMMYFUNCTION("""COMPUTED_VALUE"""),"https://www.safeway.com/covid-19")</f>
        <v>https://www.safeway.com/covid-19</v>
      </c>
      <c r="J175" s="1"/>
      <c r="K175" s="1"/>
      <c r="L175" s="1"/>
      <c r="M175" s="1" t="str">
        <f ca="1">IFERROR(__xludf.DUMMYFUNCTION("""COMPUTED_VALUE"""),"Schedule an appointment using the button below")</f>
        <v>Schedule an appointment using the button below</v>
      </c>
      <c r="N175" s="1"/>
      <c r="O175" s="1" t="str">
        <f ca="1">IFERROR(__xludf.DUMMYFUNCTION("""COMPUTED_VALUE"""),"Yes")</f>
        <v>Yes</v>
      </c>
      <c r="P175" s="1" t="str">
        <f ca="1">IFERROR(__xludf.DUMMYFUNCTION("""COMPUTED_VALUE"""),"21043")</f>
        <v>21043</v>
      </c>
      <c r="Q175" s="1" t="str">
        <f ca="1">IFERROR(__xludf.DUMMYFUNCTION("""COMPUTED_VALUE"""),"Yes")</f>
        <v>Yes</v>
      </c>
      <c r="R175" s="1" t="str">
        <f ca="1">IFERROR(__xludf.DUMMYFUNCTION("""COMPUTED_VALUE"""),"Yes")</f>
        <v>Yes</v>
      </c>
      <c r="S175" s="1" t="str">
        <f ca="1">IFERROR(__xludf.DUMMYFUNCTION("""COMPUTED_VALUE"""),"Yes")</f>
        <v>Yes</v>
      </c>
      <c r="T175" s="1" t="str">
        <f ca="1">IFERROR(__xludf.DUMMYFUNCTION("""COMPUTED_VALUE"""),"Yes")</f>
        <v>Yes</v>
      </c>
    </row>
    <row r="176" spans="1:20" ht="13" x14ac:dyDescent="0.6">
      <c r="A176" s="1" t="str">
        <f ca="1">IFERROR(__xludf.DUMMYFUNCTION("""COMPUTED_VALUE"""),"Howard")</f>
        <v>Howard</v>
      </c>
      <c r="B176" s="1" t="str">
        <f ca="1">IFERROR(__xludf.DUMMYFUNCTION("""COMPUTED_VALUE"""),"Columbia")</f>
        <v>Columbia</v>
      </c>
      <c r="C176" s="1" t="str">
        <f ca="1">IFERROR(__xludf.DUMMYFUNCTION("""COMPUTED_VALUE"""),"Giant Food Columbia")</f>
        <v>Giant Food Columbia</v>
      </c>
      <c r="D176" s="1" t="str">
        <f ca="1">IFERROR(__xludf.DUMMYFUNCTION("""COMPUTED_VALUE"""),"6480 Freetown Road Columbia MD 21044")</f>
        <v>6480 Freetown Road Columbia MD 21044</v>
      </c>
      <c r="E176" s="1" t="str">
        <f ca="1">IFERROR(__xludf.DUMMYFUNCTION("""COMPUTED_VALUE"""),"Yes")</f>
        <v>Yes</v>
      </c>
      <c r="F176" s="1" t="str">
        <f ca="1">IFERROR(__xludf.DUMMYFUNCTION("""COMPUTED_VALUE"""),"Pharmacy")</f>
        <v>Pharmacy</v>
      </c>
      <c r="G176" s="1"/>
      <c r="H176" s="1"/>
      <c r="I176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76" s="1"/>
      <c r="K176" s="1"/>
      <c r="L176" s="1"/>
      <c r="M176" s="1" t="str">
        <f ca="1">IFERROR(__xludf.DUMMYFUNCTION("""COMPUTED_VALUE"""),"Schedule an appointment using the button below")</f>
        <v>Schedule an appointment using the button below</v>
      </c>
      <c r="N176" s="1"/>
      <c r="O176" s="1" t="str">
        <f ca="1">IFERROR(__xludf.DUMMYFUNCTION("""COMPUTED_VALUE"""),"Yes")</f>
        <v>Yes</v>
      </c>
      <c r="P176" s="1" t="str">
        <f ca="1">IFERROR(__xludf.DUMMYFUNCTION("""COMPUTED_VALUE"""),"21044")</f>
        <v>21044</v>
      </c>
      <c r="Q176" s="1" t="str">
        <f ca="1">IFERROR(__xludf.DUMMYFUNCTION("""COMPUTED_VALUE"""),"Yes")</f>
        <v>Yes</v>
      </c>
      <c r="R176" s="1" t="str">
        <f ca="1">IFERROR(__xludf.DUMMYFUNCTION("""COMPUTED_VALUE"""),"Yes")</f>
        <v>Yes</v>
      </c>
      <c r="S176" s="1" t="str">
        <f ca="1">IFERROR(__xludf.DUMMYFUNCTION("""COMPUTED_VALUE"""),"No")</f>
        <v>No</v>
      </c>
      <c r="T176" s="1" t="str">
        <f ca="1">IFERROR(__xludf.DUMMYFUNCTION("""COMPUTED_VALUE"""),"Yes")</f>
        <v>Yes</v>
      </c>
    </row>
    <row r="177" spans="1:20" ht="13" x14ac:dyDescent="0.6">
      <c r="A177" s="1" t="str">
        <f ca="1">IFERROR(__xludf.DUMMYFUNCTION("""COMPUTED_VALUE"""),"Howard")</f>
        <v>Howard</v>
      </c>
      <c r="B177" s="1" t="str">
        <f ca="1">IFERROR(__xludf.DUMMYFUNCTION("""COMPUTED_VALUE"""),"Woodstock")</f>
        <v>Woodstock</v>
      </c>
      <c r="C177" s="1" t="str">
        <f ca="1">IFERROR(__xludf.DUMMYFUNCTION("""COMPUTED_VALUE"""),"Weis Pharmacy #62")</f>
        <v>Weis Pharmacy #62</v>
      </c>
      <c r="D177" s="1" t="str">
        <f ca="1">IFERROR(__xludf.DUMMYFUNCTION("""COMPUTED_VALUE"""),"10825 Birmingham Way Woodstock, MD 21163")</f>
        <v>10825 Birmingham Way Woodstock, MD 21163</v>
      </c>
      <c r="E177" s="1" t="str">
        <f ca="1">IFERROR(__xludf.DUMMYFUNCTION("""COMPUTED_VALUE"""),"Yes")</f>
        <v>Yes</v>
      </c>
      <c r="F177" s="1" t="str">
        <f ca="1">IFERROR(__xludf.DUMMYFUNCTION("""COMPUTED_VALUE"""),"Pharmacy")</f>
        <v>Pharmacy</v>
      </c>
      <c r="G177" s="1"/>
      <c r="H177" s="1"/>
      <c r="I177" s="2" t="str">
        <f ca="1">IFERROR(__xludf.DUMMYFUNCTION("""COMPUTED_VALUE"""),"https://www.weismarkets.com/pharmacy-services")</f>
        <v>https://www.weismarkets.com/pharmacy-services</v>
      </c>
      <c r="J177" s="1"/>
      <c r="K177" s="1"/>
      <c r="L177" s="1"/>
      <c r="M177" s="1" t="str">
        <f ca="1">IFERROR(__xludf.DUMMYFUNCTION("""COMPUTED_VALUE"""),"Schedule an appointment using the button below")</f>
        <v>Schedule an appointment using the button below</v>
      </c>
      <c r="N177" s="1"/>
      <c r="O177" s="1" t="str">
        <f ca="1">IFERROR(__xludf.DUMMYFUNCTION("""COMPUTED_VALUE"""),"Yes")</f>
        <v>Yes</v>
      </c>
      <c r="P177" s="1" t="str">
        <f ca="1">IFERROR(__xludf.DUMMYFUNCTION("""COMPUTED_VALUE"""),"21163")</f>
        <v>21163</v>
      </c>
      <c r="Q177" s="1" t="str">
        <f ca="1">IFERROR(__xludf.DUMMYFUNCTION("""COMPUTED_VALUE"""),"Yes")</f>
        <v>Yes</v>
      </c>
      <c r="R177" s="1" t="str">
        <f ca="1">IFERROR(__xludf.DUMMYFUNCTION("""COMPUTED_VALUE"""),"Yes")</f>
        <v>Yes</v>
      </c>
      <c r="S177" s="1" t="str">
        <f ca="1">IFERROR(__xludf.DUMMYFUNCTION("""COMPUTED_VALUE"""),"Yes")</f>
        <v>Yes</v>
      </c>
      <c r="T177" s="1" t="str">
        <f ca="1">IFERROR(__xludf.DUMMYFUNCTION("""COMPUTED_VALUE"""),"Yes")</f>
        <v>Yes</v>
      </c>
    </row>
    <row r="178" spans="1:20" ht="13" x14ac:dyDescent="0.6">
      <c r="A178" s="1" t="str">
        <f ca="1">IFERROR(__xludf.DUMMYFUNCTION("""COMPUTED_VALUE"""),"Howard")</f>
        <v>Howard</v>
      </c>
      <c r="B178" s="1" t="str">
        <f ca="1">IFERROR(__xludf.DUMMYFUNCTION("""COMPUTED_VALUE"""),"Damascus")</f>
        <v>Damascus</v>
      </c>
      <c r="C178" s="1" t="str">
        <f ca="1">IFERROR(__xludf.DUMMYFUNCTION("""COMPUTED_VALUE"""),"Weis Pharmacy #129")</f>
        <v>Weis Pharmacy #129</v>
      </c>
      <c r="D178" s="1" t="str">
        <f ca="1">IFERROR(__xludf.DUMMYFUNCTION("""COMPUTED_VALUE"""),"26075 S Ridge Road Damascus, MD 20872")</f>
        <v>26075 S Ridge Road Damascus, MD 20872</v>
      </c>
      <c r="E178" s="1" t="str">
        <f ca="1">IFERROR(__xludf.DUMMYFUNCTION("""COMPUTED_VALUE"""),"Yes")</f>
        <v>Yes</v>
      </c>
      <c r="F178" s="1" t="str">
        <f ca="1">IFERROR(__xludf.DUMMYFUNCTION("""COMPUTED_VALUE"""),"Pharmacy")</f>
        <v>Pharmacy</v>
      </c>
      <c r="G178" s="1"/>
      <c r="H178" s="1"/>
      <c r="I178" s="2" t="str">
        <f ca="1">IFERROR(__xludf.DUMMYFUNCTION("""COMPUTED_VALUE"""),"https://www.weismarkets.com/pharmacy-services")</f>
        <v>https://www.weismarkets.com/pharmacy-services</v>
      </c>
      <c r="J178" s="1"/>
      <c r="K178" s="1"/>
      <c r="L178" s="1"/>
      <c r="M178" s="1" t="str">
        <f ca="1">IFERROR(__xludf.DUMMYFUNCTION("""COMPUTED_VALUE"""),"Schedule an appointment using the button below")</f>
        <v>Schedule an appointment using the button below</v>
      </c>
      <c r="N178" s="1"/>
      <c r="O178" s="1" t="str">
        <f ca="1">IFERROR(__xludf.DUMMYFUNCTION("""COMPUTED_VALUE"""),"Yes")</f>
        <v>Yes</v>
      </c>
      <c r="P178" s="1" t="str">
        <f ca="1">IFERROR(__xludf.DUMMYFUNCTION("""COMPUTED_VALUE"""),"20872")</f>
        <v>20872</v>
      </c>
      <c r="Q178" s="1" t="str">
        <f ca="1">IFERROR(__xludf.DUMMYFUNCTION("""COMPUTED_VALUE"""),"Yes")</f>
        <v>Yes</v>
      </c>
      <c r="R178" s="1" t="str">
        <f ca="1">IFERROR(__xludf.DUMMYFUNCTION("""COMPUTED_VALUE"""),"Yes")</f>
        <v>Yes</v>
      </c>
      <c r="S178" s="1" t="str">
        <f ca="1">IFERROR(__xludf.DUMMYFUNCTION("""COMPUTED_VALUE"""),"Yes")</f>
        <v>Yes</v>
      </c>
      <c r="T178" s="1" t="str">
        <f ca="1">IFERROR(__xludf.DUMMYFUNCTION("""COMPUTED_VALUE"""),"Yes")</f>
        <v>Yes</v>
      </c>
    </row>
    <row r="179" spans="1:20" ht="13" x14ac:dyDescent="0.6">
      <c r="A179" s="1" t="str">
        <f ca="1">IFERROR(__xludf.DUMMYFUNCTION("""COMPUTED_VALUE"""),"Howard")</f>
        <v>Howard</v>
      </c>
      <c r="B179" s="1" t="str">
        <f ca="1">IFERROR(__xludf.DUMMYFUNCTION("""COMPUTED_VALUE"""),"Columbia")</f>
        <v>Columbia</v>
      </c>
      <c r="C179" s="1" t="str">
        <f ca="1">IFERROR(__xludf.DUMMYFUNCTION("""COMPUTED_VALUE"""),"Wegman's Pharmacy #047 Columbia")</f>
        <v>Wegman's Pharmacy #047 Columbia</v>
      </c>
      <c r="D179" s="1" t="str">
        <f ca="1">IFERROR(__xludf.DUMMYFUNCTION("""COMPUTED_VALUE"""),"8855 McGaw Road Columbia, MD 21045")</f>
        <v>8855 McGaw Road Columbia, MD 21045</v>
      </c>
      <c r="E179" s="1" t="str">
        <f ca="1">IFERROR(__xludf.DUMMYFUNCTION("""COMPUTED_VALUE"""),"Yes")</f>
        <v>Yes</v>
      </c>
      <c r="F179" s="1" t="str">
        <f ca="1">IFERROR(__xludf.DUMMYFUNCTION("""COMPUTED_VALUE"""),"Pharmacy")</f>
        <v>Pharmacy</v>
      </c>
      <c r="G179" s="1"/>
      <c r="H179" s="1"/>
      <c r="I179" s="2" t="str">
        <f ca="1">IFERROR(__xludf.DUMMYFUNCTION("""COMPUTED_VALUE"""),"https://www.wegmans.com/covid-vaccine-registration/")</f>
        <v>https://www.wegmans.com/covid-vaccine-registration/</v>
      </c>
      <c r="J179" s="1"/>
      <c r="K179" s="1"/>
      <c r="L179" s="1"/>
      <c r="M179" s="1" t="str">
        <f ca="1">IFERROR(__xludf.DUMMYFUNCTION("""COMPUTED_VALUE"""),"Schedule an appointment using the button below")</f>
        <v>Schedule an appointment using the button below</v>
      </c>
      <c r="N179" s="1"/>
      <c r="O179" s="1" t="str">
        <f ca="1">IFERROR(__xludf.DUMMYFUNCTION("""COMPUTED_VALUE"""),"Yes")</f>
        <v>Yes</v>
      </c>
      <c r="P179" s="1" t="str">
        <f ca="1">IFERROR(__xludf.DUMMYFUNCTION("""COMPUTED_VALUE"""),"21045")</f>
        <v>21045</v>
      </c>
      <c r="Q179" s="1" t="str">
        <f ca="1">IFERROR(__xludf.DUMMYFUNCTION("""COMPUTED_VALUE"""),"Yes")</f>
        <v>Yes</v>
      </c>
      <c r="R179" s="1" t="str">
        <f ca="1">IFERROR(__xludf.DUMMYFUNCTION("""COMPUTED_VALUE"""),"Yes")</f>
        <v>Yes</v>
      </c>
      <c r="S179" s="1" t="str">
        <f ca="1">IFERROR(__xludf.DUMMYFUNCTION("""COMPUTED_VALUE"""),"No")</f>
        <v>No</v>
      </c>
      <c r="T179" s="1" t="str">
        <f ca="1">IFERROR(__xludf.DUMMYFUNCTION("""COMPUTED_VALUE"""),"Yes")</f>
        <v>Yes</v>
      </c>
    </row>
    <row r="180" spans="1:20" ht="13" x14ac:dyDescent="0.6">
      <c r="A180" s="1" t="str">
        <f ca="1">IFERROR(__xludf.DUMMYFUNCTION("""COMPUTED_VALUE"""),"Howard")</f>
        <v>Howard</v>
      </c>
      <c r="B180" s="1" t="str">
        <f ca="1">IFERROR(__xludf.DUMMYFUNCTION("""COMPUTED_VALUE"""),"Ellicott City")</f>
        <v>Ellicott City</v>
      </c>
      <c r="C180" s="1" t="str">
        <f ca="1">IFERROR(__xludf.DUMMYFUNCTION("""COMPUTED_VALUE"""),"Walmart Ellicott City")</f>
        <v>Walmart Ellicott City</v>
      </c>
      <c r="D180" s="1" t="str">
        <f ca="1">IFERROR(__xludf.DUMMYFUNCTION("""COMPUTED_VALUE"""),"3200 N Ridge Rd Ellicott City, MD 21043")</f>
        <v>3200 N Ridge Rd Ellicott City, MD 21043</v>
      </c>
      <c r="E180" s="1" t="str">
        <f ca="1">IFERROR(__xludf.DUMMYFUNCTION("""COMPUTED_VALUE"""),"Yes")</f>
        <v>Yes</v>
      </c>
      <c r="F180" s="1" t="str">
        <f ca="1">IFERROR(__xludf.DUMMYFUNCTION("""COMPUTED_VALUE"""),"Pharmacy")</f>
        <v>Pharmacy</v>
      </c>
      <c r="G180" s="1"/>
      <c r="H180" s="1"/>
      <c r="I180" s="2" t="str">
        <f ca="1">IFERROR(__xludf.DUMMYFUNCTION("""COMPUTED_VALUE"""),"https://walmart.com/covidvaccine")</f>
        <v>https://walmart.com/covidvaccine</v>
      </c>
      <c r="J180" s="1"/>
      <c r="K180" s="1" t="str">
        <f ca="1">IFERROR(__xludf.DUMMYFUNCTION("""COMPUTED_VALUE"""),"410-418-9703")</f>
        <v>410-418-9703</v>
      </c>
      <c r="L180" s="1"/>
      <c r="M180" s="1" t="str">
        <f ca="1">IFERROR(__xludf.DUMMYFUNCTION("""COMPUTED_VALUE"""),"Schedule an appointment using the button below")</f>
        <v>Schedule an appointment using the button below</v>
      </c>
      <c r="N180" s="1"/>
      <c r="O180" s="1" t="str">
        <f ca="1">IFERROR(__xludf.DUMMYFUNCTION("""COMPUTED_VALUE"""),"Yes")</f>
        <v>Yes</v>
      </c>
      <c r="P180" s="1" t="str">
        <f ca="1">IFERROR(__xludf.DUMMYFUNCTION("""COMPUTED_VALUE"""),"21043")</f>
        <v>21043</v>
      </c>
      <c r="Q180" s="1" t="str">
        <f ca="1">IFERROR(__xludf.DUMMYFUNCTION("""COMPUTED_VALUE"""),"Yes")</f>
        <v>Yes</v>
      </c>
      <c r="R180" s="1" t="str">
        <f ca="1">IFERROR(__xludf.DUMMYFUNCTION("""COMPUTED_VALUE"""),"No")</f>
        <v>No</v>
      </c>
      <c r="S180" s="1" t="str">
        <f ca="1">IFERROR(__xludf.DUMMYFUNCTION("""COMPUTED_VALUE"""),"Yes")</f>
        <v>Yes</v>
      </c>
      <c r="T180" s="1" t="str">
        <f ca="1">IFERROR(__xludf.DUMMYFUNCTION("""COMPUTED_VALUE"""),"Yes")</f>
        <v>Yes</v>
      </c>
    </row>
    <row r="181" spans="1:20" ht="13" x14ac:dyDescent="0.6">
      <c r="A181" s="1" t="str">
        <f ca="1">IFERROR(__xludf.DUMMYFUNCTION("""COMPUTED_VALUE"""),"Howard")</f>
        <v>Howard</v>
      </c>
      <c r="B181" s="1" t="str">
        <f ca="1">IFERROR(__xludf.DUMMYFUNCTION("""COMPUTED_VALUE"""),"Elkridge")</f>
        <v>Elkridge</v>
      </c>
      <c r="C181" s="1" t="str">
        <f ca="1">IFERROR(__xludf.DUMMYFUNCTION("""COMPUTED_VALUE"""),"CVS Elkridge")</f>
        <v>CVS Elkridge</v>
      </c>
      <c r="D181" s="1" t="str">
        <f ca="1">IFERROR(__xludf.DUMMYFUNCTION("""COMPUTED_VALUE"""),"6480 Old Waterloo Rd, Elkridge, MD 21075")</f>
        <v>6480 Old Waterloo Rd, Elkridge, MD 21075</v>
      </c>
      <c r="E181" s="1" t="str">
        <f ca="1">IFERROR(__xludf.DUMMYFUNCTION("""COMPUTED_VALUE"""),"Yes")</f>
        <v>Yes</v>
      </c>
      <c r="F181" s="1" t="str">
        <f ca="1">IFERROR(__xludf.DUMMYFUNCTION("""COMPUTED_VALUE"""),"Pharmacy")</f>
        <v>Pharmacy</v>
      </c>
      <c r="G181" s="1"/>
      <c r="H181" s="1"/>
      <c r="I181" s="2" t="str">
        <f ca="1">IFERROR(__xludf.DUMMYFUNCTION("""COMPUTED_VALUE"""),"https://www.cvs.com/immunizations/covid-19-vaccine")</f>
        <v>https://www.cvs.com/immunizations/covid-19-vaccine</v>
      </c>
      <c r="J181" s="1" t="str">
        <f ca="1">IFERROR(__xludf.DUMMYFUNCTION("""COMPUTED_VALUE"""),"Yes")</f>
        <v>Yes</v>
      </c>
      <c r="K181" s="1" t="str">
        <f ca="1">IFERROR(__xludf.DUMMYFUNCTION("""COMPUTED_VALUE"""),"800-746-7287")</f>
        <v>800-746-7287</v>
      </c>
      <c r="L181" s="1"/>
      <c r="M181" s="1" t="str">
        <f ca="1">IFERROR(__xludf.DUMMYFUNCTION("""COMPUTED_VALUE"""),"Schedule an appointment using the button below")</f>
        <v>Schedule an appointment using the button below</v>
      </c>
      <c r="N181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81" s="1" t="str">
        <f ca="1">IFERROR(__xludf.DUMMYFUNCTION("""COMPUTED_VALUE"""),"Yes")</f>
        <v>Yes</v>
      </c>
      <c r="P181" s="1" t="str">
        <f ca="1">IFERROR(__xludf.DUMMYFUNCTION("""COMPUTED_VALUE"""),"21075")</f>
        <v>21075</v>
      </c>
      <c r="Q181" s="1" t="str">
        <f ca="1">IFERROR(__xludf.DUMMYFUNCTION("""COMPUTED_VALUE"""),"Yes")</f>
        <v>Yes</v>
      </c>
      <c r="R181" s="1" t="str">
        <f ca="1">IFERROR(__xludf.DUMMYFUNCTION("""COMPUTED_VALUE"""),"No")</f>
        <v>No</v>
      </c>
      <c r="S181" s="1" t="str">
        <f ca="1">IFERROR(__xludf.DUMMYFUNCTION("""COMPUTED_VALUE"""),"No")</f>
        <v>No</v>
      </c>
      <c r="T181" s="1" t="str">
        <f ca="1">IFERROR(__xludf.DUMMYFUNCTION("""COMPUTED_VALUE"""),"Yes")</f>
        <v>Yes</v>
      </c>
    </row>
    <row r="182" spans="1:20" ht="13" x14ac:dyDescent="0.6">
      <c r="A182" s="1" t="str">
        <f ca="1">IFERROR(__xludf.DUMMYFUNCTION("""COMPUTED_VALUE"""),"Howard")</f>
        <v>Howard</v>
      </c>
      <c r="B182" s="1" t="str">
        <f ca="1">IFERROR(__xludf.DUMMYFUNCTION("""COMPUTED_VALUE"""),"Ellicott City")</f>
        <v>Ellicott City</v>
      </c>
      <c r="C182" s="1" t="str">
        <f ca="1">IFERROR(__xludf.DUMMYFUNCTION("""COMPUTED_VALUE"""),"CVS Ellicott City")</f>
        <v>CVS Ellicott City</v>
      </c>
      <c r="D182" s="1" t="str">
        <f ca="1">IFERROR(__xludf.DUMMYFUNCTION("""COMPUTED_VALUE"""),"3300A Centennial Lane, Ellicott City, MD 21042")</f>
        <v>3300A Centennial Lane, Ellicott City, MD 21042</v>
      </c>
      <c r="E182" s="1" t="str">
        <f ca="1">IFERROR(__xludf.DUMMYFUNCTION("""COMPUTED_VALUE"""),"Yes")</f>
        <v>Yes</v>
      </c>
      <c r="F182" s="1" t="str">
        <f ca="1">IFERROR(__xludf.DUMMYFUNCTION("""COMPUTED_VALUE"""),"Pharmacy")</f>
        <v>Pharmacy</v>
      </c>
      <c r="G182" s="1"/>
      <c r="H182" s="1"/>
      <c r="I182" s="2" t="str">
        <f ca="1">IFERROR(__xludf.DUMMYFUNCTION("""COMPUTED_VALUE"""),"https://www.cvs.com/immunizations/covid-19-vaccine")</f>
        <v>https://www.cvs.com/immunizations/covid-19-vaccine</v>
      </c>
      <c r="J182" s="1" t="str">
        <f ca="1">IFERROR(__xludf.DUMMYFUNCTION("""COMPUTED_VALUE"""),"Yes")</f>
        <v>Yes</v>
      </c>
      <c r="K182" s="1" t="str">
        <f ca="1">IFERROR(__xludf.DUMMYFUNCTION("""COMPUTED_VALUE"""),"800-746-7287")</f>
        <v>800-746-7287</v>
      </c>
      <c r="L182" s="1"/>
      <c r="M182" s="1" t="str">
        <f ca="1">IFERROR(__xludf.DUMMYFUNCTION("""COMPUTED_VALUE"""),"Schedule an appointment using the button below")</f>
        <v>Schedule an appointment using the button below</v>
      </c>
      <c r="N182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82" s="1" t="str">
        <f ca="1">IFERROR(__xludf.DUMMYFUNCTION("""COMPUTED_VALUE"""),"Yes")</f>
        <v>Yes</v>
      </c>
      <c r="P182" s="1" t="str">
        <f ca="1">IFERROR(__xludf.DUMMYFUNCTION("""COMPUTED_VALUE"""),"21042")</f>
        <v>21042</v>
      </c>
      <c r="Q182" s="1" t="str">
        <f ca="1">IFERROR(__xludf.DUMMYFUNCTION("""COMPUTED_VALUE"""),"Yes")</f>
        <v>Yes</v>
      </c>
      <c r="R182" s="1" t="str">
        <f ca="1">IFERROR(__xludf.DUMMYFUNCTION("""COMPUTED_VALUE"""),"No")</f>
        <v>No</v>
      </c>
      <c r="S182" s="1" t="str">
        <f ca="1">IFERROR(__xludf.DUMMYFUNCTION("""COMPUTED_VALUE"""),"No")</f>
        <v>No</v>
      </c>
      <c r="T182" s="1" t="str">
        <f ca="1">IFERROR(__xludf.DUMMYFUNCTION("""COMPUTED_VALUE"""),"Yes")</f>
        <v>Yes</v>
      </c>
    </row>
    <row r="183" spans="1:20" ht="13" x14ac:dyDescent="0.6">
      <c r="A183" s="1" t="str">
        <f ca="1">IFERROR(__xludf.DUMMYFUNCTION("""COMPUTED_VALUE"""),"Howard")</f>
        <v>Howard</v>
      </c>
      <c r="B183" s="1" t="str">
        <f ca="1">IFERROR(__xludf.DUMMYFUNCTION("""COMPUTED_VALUE"""),"Columbia")</f>
        <v>Columbia</v>
      </c>
      <c r="C183" s="1" t="str">
        <f ca="1">IFERROR(__xludf.DUMMYFUNCTION("""COMPUTED_VALUE"""),"Columbia Hickory")</f>
        <v>Columbia Hickory</v>
      </c>
      <c r="D183" s="1" t="str">
        <f ca="1">IFERROR(__xludf.DUMMYFUNCTION("""COMPUTED_VALUE"""),"10805 Hickory Ridge Rd, Columbia, MD, 21044")</f>
        <v>10805 Hickory Ridge Rd, Columbia, MD, 21044</v>
      </c>
      <c r="E183" s="1" t="str">
        <f ca="1">IFERROR(__xludf.DUMMYFUNCTION("""COMPUTED_VALUE"""),"Yes")</f>
        <v>Yes</v>
      </c>
      <c r="F183" s="1" t="str">
        <f ca="1">IFERROR(__xludf.DUMMYFUNCTION("""COMPUTED_VALUE"""),"Pharmacy")</f>
        <v>Pharmacy</v>
      </c>
      <c r="G183" s="1"/>
      <c r="H183" s="1"/>
      <c r="I183" s="2" t="str">
        <f ca="1">IFERROR(__xludf.DUMMYFUNCTION("""COMPUTED_VALUE"""),"https://bookacovidvaccine.com/columbia-hickory-pharmacy/")</f>
        <v>https://bookacovidvaccine.com/columbia-hickory-pharmacy/</v>
      </c>
      <c r="J183" s="1" t="str">
        <f ca="1">IFERROR(__xludf.DUMMYFUNCTION("""COMPUTED_VALUE"""),"Yes")</f>
        <v>Yes</v>
      </c>
      <c r="K183" s="1"/>
      <c r="L183" s="1"/>
      <c r="M183" s="1" t="str">
        <f ca="1">IFERROR(__xludf.DUMMYFUNCTION("""COMPUTED_VALUE"""),"Schedule an appointment using the button below")</f>
        <v>Schedule an appointment using the button below</v>
      </c>
      <c r="N183" s="1"/>
      <c r="O183" s="1"/>
      <c r="P183" s="1" t="str">
        <f ca="1">IFERROR(__xludf.DUMMYFUNCTION("""COMPUTED_VALUE"""),"21044")</f>
        <v>21044</v>
      </c>
      <c r="Q183" s="1" t="str">
        <f ca="1">IFERROR(__xludf.DUMMYFUNCTION("""COMPUTED_VALUE"""),"No")</f>
        <v>No</v>
      </c>
      <c r="R183" s="1" t="str">
        <f ca="1">IFERROR(__xludf.DUMMYFUNCTION("""COMPUTED_VALUE"""),"Yes")</f>
        <v>Yes</v>
      </c>
      <c r="S183" s="1" t="str">
        <f ca="1">IFERROR(__xludf.DUMMYFUNCTION("""COMPUTED_VALUE"""),"No")</f>
        <v>No</v>
      </c>
      <c r="T183" s="1" t="str">
        <f ca="1">IFERROR(__xludf.DUMMYFUNCTION("""COMPUTED_VALUE"""),"Yes")</f>
        <v>Yes</v>
      </c>
    </row>
    <row r="184" spans="1:20" ht="13" x14ac:dyDescent="0.6">
      <c r="A184" s="1" t="str">
        <f ca="1">IFERROR(__xludf.DUMMYFUNCTION("""COMPUTED_VALUE"""),"Howard")</f>
        <v>Howard</v>
      </c>
      <c r="B184" s="1" t="str">
        <f ca="1">IFERROR(__xludf.DUMMYFUNCTION("""COMPUTED_VALUE"""),"Ellicott City")</f>
        <v>Ellicott City</v>
      </c>
      <c r="C184" s="1" t="str">
        <f ca="1">IFERROR(__xludf.DUMMYFUNCTION("""COMPUTED_VALUE"""),"Ellicott City")</f>
        <v>Ellicott City</v>
      </c>
      <c r="D184" s="1" t="str">
        <f ca="1">IFERROR(__xludf.DUMMYFUNCTION("""COMPUTED_VALUE"""),"9338 Baltimore National Pike Suite 11, Ellicott City, MD 21042")</f>
        <v>9338 Baltimore National Pike Suite 11, Ellicott City, MD 21042</v>
      </c>
      <c r="E184" s="1" t="str">
        <f ca="1">IFERROR(__xludf.DUMMYFUNCTION("""COMPUTED_VALUE"""),"Yes")</f>
        <v>Yes</v>
      </c>
      <c r="F184" s="1" t="str">
        <f ca="1">IFERROR(__xludf.DUMMYFUNCTION("""COMPUTED_VALUE"""),"Pharmacy")</f>
        <v>Pharmacy</v>
      </c>
      <c r="G184" s="1"/>
      <c r="H184" s="1"/>
      <c r="I184" s="2" t="str">
        <f ca="1">IFERROR(__xludf.DUMMYFUNCTION("""COMPUTED_VALUE"""),"https://bookacovidvaccine.com/ellicott-city-pharmacy/")</f>
        <v>https://bookacovidvaccine.com/ellicott-city-pharmacy/</v>
      </c>
      <c r="J184" s="1" t="str">
        <f ca="1">IFERROR(__xludf.DUMMYFUNCTION("""COMPUTED_VALUE"""),"Yes")</f>
        <v>Yes</v>
      </c>
      <c r="K184" s="1"/>
      <c r="L184" s="1"/>
      <c r="M184" s="1" t="str">
        <f ca="1">IFERROR(__xludf.DUMMYFUNCTION("""COMPUTED_VALUE"""),"Schedule an appointment using the button below")</f>
        <v>Schedule an appointment using the button below</v>
      </c>
      <c r="N184" s="1"/>
      <c r="O184" s="1"/>
      <c r="P184" s="1" t="str">
        <f ca="1">IFERROR(__xludf.DUMMYFUNCTION("""COMPUTED_VALUE"""),"21042")</f>
        <v>21042</v>
      </c>
      <c r="Q184" s="1" t="str">
        <f ca="1">IFERROR(__xludf.DUMMYFUNCTION("""COMPUTED_VALUE"""),"Yes")</f>
        <v>Yes</v>
      </c>
      <c r="R184" s="1" t="str">
        <f ca="1">IFERROR(__xludf.DUMMYFUNCTION("""COMPUTED_VALUE"""),"Yes")</f>
        <v>Yes</v>
      </c>
      <c r="S184" s="1" t="str">
        <f ca="1">IFERROR(__xludf.DUMMYFUNCTION("""COMPUTED_VALUE"""),"No")</f>
        <v>No</v>
      </c>
      <c r="T184" s="1" t="str">
        <f ca="1">IFERROR(__xludf.DUMMYFUNCTION("""COMPUTED_VALUE"""),"Yes")</f>
        <v>Yes</v>
      </c>
    </row>
    <row r="185" spans="1:20" ht="13" x14ac:dyDescent="0.6">
      <c r="A185" s="1" t="str">
        <f ca="1">IFERROR(__xludf.DUMMYFUNCTION("""COMPUTED_VALUE"""),"Howard")</f>
        <v>Howard</v>
      </c>
      <c r="B185" s="1" t="str">
        <f ca="1">IFERROR(__xludf.DUMMYFUNCTION("""COMPUTED_VALUE"""),"Fulton")</f>
        <v>Fulton</v>
      </c>
      <c r="C185" s="1" t="str">
        <f ca="1">IFERROR(__xludf.DUMMYFUNCTION("""COMPUTED_VALUE"""),"Harris Teeter Fulton")</f>
        <v>Harris Teeter Fulton</v>
      </c>
      <c r="D185" s="1" t="str">
        <f ca="1">IFERROR(__xludf.DUMMYFUNCTION("""COMPUTED_VALUE"""),"8184 Westside Blvd Fulton, MD 20759")</f>
        <v>8184 Westside Blvd Fulton, MD 20759</v>
      </c>
      <c r="E185" s="1" t="str">
        <f ca="1">IFERROR(__xludf.DUMMYFUNCTION("""COMPUTED_VALUE"""),"Yes")</f>
        <v>Yes</v>
      </c>
      <c r="F185" s="1" t="str">
        <f ca="1">IFERROR(__xludf.DUMMYFUNCTION("""COMPUTED_VALUE"""),"Pharmacy")</f>
        <v>Pharmacy</v>
      </c>
      <c r="G185" s="1"/>
      <c r="H185" s="1"/>
      <c r="I185" s="2" t="str">
        <f ca="1">IFERROR(__xludf.DUMMYFUNCTION("""COMPUTED_VALUE"""),"https://www.harristeeterpharmacy.com/rx/covid-eligibility")</f>
        <v>https://www.harristeeterpharmacy.com/rx/covid-eligibility</v>
      </c>
      <c r="J185" s="1" t="str">
        <f ca="1">IFERROR(__xludf.DUMMYFUNCTION("""COMPUTED_VALUE"""),"Yes")</f>
        <v>Yes</v>
      </c>
      <c r="K185" s="1"/>
      <c r="L185" s="1"/>
      <c r="M185" s="1" t="str">
        <f ca="1">IFERROR(__xludf.DUMMYFUNCTION("""COMPUTED_VALUE"""),"Schedule an appointment using the button below")</f>
        <v>Schedule an appointment using the button below</v>
      </c>
      <c r="N185" s="1"/>
      <c r="O185" s="1" t="str">
        <f ca="1">IFERROR(__xludf.DUMMYFUNCTION("""COMPUTED_VALUE"""),"Yes")</f>
        <v>Yes</v>
      </c>
      <c r="P185" s="1" t="str">
        <f ca="1">IFERROR(__xludf.DUMMYFUNCTION("""COMPUTED_VALUE"""),"20759")</f>
        <v>20759</v>
      </c>
      <c r="Q185" s="1" t="str">
        <f ca="1">IFERROR(__xludf.DUMMYFUNCTION("""COMPUTED_VALUE"""),"Yes")</f>
        <v>Yes</v>
      </c>
      <c r="R185" s="1" t="str">
        <f ca="1">IFERROR(__xludf.DUMMYFUNCTION("""COMPUTED_VALUE"""),"Yes")</f>
        <v>Yes</v>
      </c>
      <c r="S185" s="1" t="str">
        <f ca="1">IFERROR(__xludf.DUMMYFUNCTION("""COMPUTED_VALUE"""),"No")</f>
        <v>No</v>
      </c>
      <c r="T185" s="1" t="str">
        <f ca="1">IFERROR(__xludf.DUMMYFUNCTION("""COMPUTED_VALUE"""),"Yes")</f>
        <v>Yes</v>
      </c>
    </row>
    <row r="186" spans="1:20" ht="13" x14ac:dyDescent="0.6">
      <c r="A186" s="1" t="str">
        <f ca="1">IFERROR(__xludf.DUMMYFUNCTION("""COMPUTED_VALUE"""),"Kent")</f>
        <v>Kent</v>
      </c>
      <c r="B186" s="1" t="str">
        <f ca="1">IFERROR(__xludf.DUMMYFUNCTION("""COMPUTED_VALUE"""),"Chestertown")</f>
        <v>Chestertown</v>
      </c>
      <c r="C186" s="1" t="str">
        <f ca="1">IFERROR(__xludf.DUMMYFUNCTION("""COMPUTED_VALUE"""),"Chester River Pharmacy ")</f>
        <v xml:space="preserve">Chester River Pharmacy </v>
      </c>
      <c r="D186" s="1" t="str">
        <f ca="1">IFERROR(__xludf.DUMMYFUNCTION("""COMPUTED_VALUE"""),"601 Washington Avenue, Chestertown, MD 21620")</f>
        <v>601 Washington Avenue, Chestertown, MD 21620</v>
      </c>
      <c r="E186" s="1" t="str">
        <f ca="1">IFERROR(__xludf.DUMMYFUNCTION("""COMPUTED_VALUE"""),"Yes")</f>
        <v>Yes</v>
      </c>
      <c r="F186" s="1" t="str">
        <f ca="1">IFERROR(__xludf.DUMMYFUNCTION("""COMPUTED_VALUE"""),"Pharmacy")</f>
        <v>Pharmacy</v>
      </c>
      <c r="G186" s="2" t="str">
        <f ca="1">IFERROR(__xludf.DUMMYFUNCTION("""COMPUTED_VALUE"""),"https://www.chesterriverpharmacy.com/")</f>
        <v>https://www.chesterriverpharmacy.com/</v>
      </c>
      <c r="H186" s="1"/>
      <c r="I186" s="2" t="str">
        <f ca="1">IFERROR(__xludf.DUMMYFUNCTION("""COMPUTED_VALUE"""),"https://www.chesterriverpharmacy.com/coronavirus")</f>
        <v>https://www.chesterriverpharmacy.com/coronavirus</v>
      </c>
      <c r="J186" s="1"/>
      <c r="K186" s="1" t="str">
        <f ca="1">IFERROR(__xludf.DUMMYFUNCTION("""COMPUTED_VALUE"""),"410-810-3600")</f>
        <v>410-810-3600</v>
      </c>
      <c r="L186" s="1"/>
      <c r="M186" s="1" t="str">
        <f ca="1">IFERROR(__xludf.DUMMYFUNCTION("""COMPUTED_VALUE"""),"Schedule an appointment using the button below")</f>
        <v>Schedule an appointment using the button below</v>
      </c>
      <c r="N186" s="1"/>
      <c r="O186" s="1"/>
      <c r="P186" s="1" t="str">
        <f ca="1">IFERROR(__xludf.DUMMYFUNCTION("""COMPUTED_VALUE"""),"21620")</f>
        <v>21620</v>
      </c>
      <c r="Q186" s="1" t="str">
        <f ca="1">IFERROR(__xludf.DUMMYFUNCTION("""COMPUTED_VALUE"""),"No")</f>
        <v>No</v>
      </c>
      <c r="R186" s="1" t="str">
        <f ca="1">IFERROR(__xludf.DUMMYFUNCTION("""COMPUTED_VALUE"""),"Yes")</f>
        <v>Yes</v>
      </c>
      <c r="S186" s="1" t="str">
        <f ca="1">IFERROR(__xludf.DUMMYFUNCTION("""COMPUTED_VALUE"""),"No")</f>
        <v>No</v>
      </c>
      <c r="T186" s="1" t="str">
        <f ca="1">IFERROR(__xludf.DUMMYFUNCTION("""COMPUTED_VALUE"""),"Yes")</f>
        <v>Yes</v>
      </c>
    </row>
    <row r="187" spans="1:20" ht="13" x14ac:dyDescent="0.6">
      <c r="A187" s="10" t="str">
        <f ca="1">IFERROR(__xludf.DUMMYFUNCTION("""COMPUTED_VALUE"""),"Montgomery")</f>
        <v>Montgomery</v>
      </c>
      <c r="B187" s="10" t="str">
        <f ca="1">IFERROR(__xludf.DUMMYFUNCTION("""COMPUTED_VALUE"""),"Bethesda")</f>
        <v>Bethesda</v>
      </c>
      <c r="C187" s="10" t="str">
        <f ca="1">IFERROR(__xludf.DUMMYFUNCTION("""COMPUTED_VALUE"""),"Giant Food Bethesda")</f>
        <v>Giant Food Bethesda</v>
      </c>
      <c r="D187" s="10" t="str">
        <f ca="1">IFERROR(__xludf.DUMMYFUNCTION("""COMPUTED_VALUE"""),"10400 Old Georgetown Road Bethesda MD 20814")</f>
        <v>10400 Old Georgetown Road Bethesda MD 20814</v>
      </c>
      <c r="E187" s="10" t="str">
        <f ca="1">IFERROR(__xludf.DUMMYFUNCTION("""COMPUTED_VALUE"""),"Yes")</f>
        <v>Yes</v>
      </c>
      <c r="F187" s="10" t="str">
        <f ca="1">IFERROR(__xludf.DUMMYFUNCTION("""COMPUTED_VALUE"""),"Pharmacy")</f>
        <v>Pharmacy</v>
      </c>
      <c r="G187" s="10"/>
      <c r="H187" s="1"/>
      <c r="I187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87" s="1"/>
      <c r="K187" s="1" t="str">
        <f ca="1">IFERROR(__xludf.DUMMYFUNCTION("""COMPUTED_VALUE"""),"301-530-3271")</f>
        <v>301-530-3271</v>
      </c>
      <c r="L187" s="1"/>
      <c r="M187" s="1" t="str">
        <f ca="1">IFERROR(__xludf.DUMMYFUNCTION("""COMPUTED_VALUE"""),"Schedule an appointment using the button below")</f>
        <v>Schedule an appointment using the button below</v>
      </c>
      <c r="N187" s="1"/>
      <c r="O187" s="1" t="str">
        <f ca="1">IFERROR(__xludf.DUMMYFUNCTION("""COMPUTED_VALUE"""),"Yes")</f>
        <v>Yes</v>
      </c>
      <c r="P187" s="1" t="str">
        <f ca="1">IFERROR(__xludf.DUMMYFUNCTION("""COMPUTED_VALUE"""),"20814")</f>
        <v>20814</v>
      </c>
      <c r="Q187" s="1" t="str">
        <f ca="1">IFERROR(__xludf.DUMMYFUNCTION("""COMPUTED_VALUE"""),"Yes")</f>
        <v>Yes</v>
      </c>
      <c r="R187" s="1" t="str">
        <f ca="1">IFERROR(__xludf.DUMMYFUNCTION("""COMPUTED_VALUE"""),"Yes")</f>
        <v>Yes</v>
      </c>
      <c r="S187" s="1" t="str">
        <f ca="1">IFERROR(__xludf.DUMMYFUNCTION("""COMPUTED_VALUE"""),"No")</f>
        <v>No</v>
      </c>
      <c r="T187" s="1" t="str">
        <f ca="1">IFERROR(__xludf.DUMMYFUNCTION("""COMPUTED_VALUE"""),"Yes")</f>
        <v>Yes</v>
      </c>
    </row>
    <row r="188" spans="1:20" ht="13" x14ac:dyDescent="0.6">
      <c r="A188" s="10" t="str">
        <f ca="1">IFERROR(__xludf.DUMMYFUNCTION("""COMPUTED_VALUE"""),"Montgomery")</f>
        <v>Montgomery</v>
      </c>
      <c r="B188" s="10" t="str">
        <f ca="1">IFERROR(__xludf.DUMMYFUNCTION("""COMPUTED_VALUE"""),"Gaithersburg")</f>
        <v>Gaithersburg</v>
      </c>
      <c r="C188" s="10" t="str">
        <f ca="1">IFERROR(__xludf.DUMMYFUNCTION("""COMPUTED_VALUE"""),"Giant Food Gaithersburg")</f>
        <v>Giant Food Gaithersburg</v>
      </c>
      <c r="D188" s="10" t="str">
        <f ca="1">IFERROR(__xludf.DUMMYFUNCTION("""COMPUTED_VALUE"""),"229 Kentlands Boulevard Gaithersburg MD 20878")</f>
        <v>229 Kentlands Boulevard Gaithersburg MD 20878</v>
      </c>
      <c r="E188" s="10" t="str">
        <f ca="1">IFERROR(__xludf.DUMMYFUNCTION("""COMPUTED_VALUE"""),"Yes")</f>
        <v>Yes</v>
      </c>
      <c r="F188" s="10" t="str">
        <f ca="1">IFERROR(__xludf.DUMMYFUNCTION("""COMPUTED_VALUE"""),"Pharmacy")</f>
        <v>Pharmacy</v>
      </c>
      <c r="G188" s="10"/>
      <c r="H188" s="1"/>
      <c r="I188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188" s="1"/>
      <c r="K188" s="1" t="str">
        <f ca="1">IFERROR(__xludf.DUMMYFUNCTION("""COMPUTED_VALUE"""),"301-208-8204")</f>
        <v>301-208-8204</v>
      </c>
      <c r="L188" s="1"/>
      <c r="M188" s="1" t="str">
        <f ca="1">IFERROR(__xludf.DUMMYFUNCTION("""COMPUTED_VALUE"""),"Schedule an appointment using the button below")</f>
        <v>Schedule an appointment using the button below</v>
      </c>
      <c r="N188" s="1"/>
      <c r="O188" s="1" t="str">
        <f ca="1">IFERROR(__xludf.DUMMYFUNCTION("""COMPUTED_VALUE"""),"Yes")</f>
        <v>Yes</v>
      </c>
      <c r="P188" s="1" t="str">
        <f ca="1">IFERROR(__xludf.DUMMYFUNCTION("""COMPUTED_VALUE"""),"20878")</f>
        <v>20878</v>
      </c>
      <c r="Q188" s="1" t="str">
        <f ca="1">IFERROR(__xludf.DUMMYFUNCTION("""COMPUTED_VALUE"""),"Yes")</f>
        <v>Yes</v>
      </c>
      <c r="R188" s="1" t="str">
        <f ca="1">IFERROR(__xludf.DUMMYFUNCTION("""COMPUTED_VALUE"""),"Yes")</f>
        <v>Yes</v>
      </c>
      <c r="S188" s="1" t="str">
        <f ca="1">IFERROR(__xludf.DUMMYFUNCTION("""COMPUTED_VALUE"""),"No")</f>
        <v>No</v>
      </c>
      <c r="T188" s="1" t="str">
        <f ca="1">IFERROR(__xludf.DUMMYFUNCTION("""COMPUTED_VALUE"""),"Yes")</f>
        <v>Yes</v>
      </c>
    </row>
    <row r="189" spans="1:20" ht="13" x14ac:dyDescent="0.6">
      <c r="A189" s="10" t="str">
        <f ca="1">IFERROR(__xludf.DUMMYFUNCTION("""COMPUTED_VALUE"""),"Montgomery")</f>
        <v>Montgomery</v>
      </c>
      <c r="B189" s="10" t="str">
        <f ca="1">IFERROR(__xludf.DUMMYFUNCTION("""COMPUTED_VALUE"""),"Silver Spring")</f>
        <v>Silver Spring</v>
      </c>
      <c r="C189" s="10" t="str">
        <f ca="1">IFERROR(__xludf.DUMMYFUNCTION("""COMPUTED_VALUE"""),"Walgreens Silver Spring")</f>
        <v>Walgreens Silver Spring</v>
      </c>
      <c r="D189" s="10" t="str">
        <f ca="1">IFERROR(__xludf.DUMMYFUNCTION("""COMPUTED_VALUE"""),"12222 Veirs Mill Rd Silver Spring MD 20906")</f>
        <v>12222 Veirs Mill Rd Silver Spring MD 20906</v>
      </c>
      <c r="E189" s="10" t="str">
        <f ca="1">IFERROR(__xludf.DUMMYFUNCTION("""COMPUTED_VALUE"""),"Yes")</f>
        <v>Yes</v>
      </c>
      <c r="F189" s="10" t="str">
        <f ca="1">IFERROR(__xludf.DUMMYFUNCTION("""COMPUTED_VALUE"""),"Pharmacy")</f>
        <v>Pharmacy</v>
      </c>
      <c r="G189" s="10"/>
      <c r="H189" s="1"/>
      <c r="I189" s="2" t="str">
        <f ca="1">IFERROR(__xludf.DUMMYFUNCTION("""COMPUTED_VALUE"""),"https://www.walgreens.com/schedulevaccine")</f>
        <v>https://www.walgreens.com/schedulevaccine</v>
      </c>
      <c r="J189" s="1"/>
      <c r="K189" s="1" t="str">
        <f ca="1">IFERROR(__xludf.DUMMYFUNCTION("""COMPUTED_VALUE"""),"1-800-WALGREENS")</f>
        <v>1-800-WALGREENS</v>
      </c>
      <c r="L189" s="1"/>
      <c r="M189" s="1" t="str">
        <f ca="1">IFERROR(__xludf.DUMMYFUNCTION("""COMPUTED_VALUE"""),"Schedule an appointment using the button below")</f>
        <v>Schedule an appointment using the button below</v>
      </c>
      <c r="N189" s="1"/>
      <c r="O189" s="1"/>
      <c r="P189" s="1" t="str">
        <f ca="1">IFERROR(__xludf.DUMMYFUNCTION("""COMPUTED_VALUE"""),"20906")</f>
        <v>20906</v>
      </c>
      <c r="Q189" s="1" t="str">
        <f ca="1">IFERROR(__xludf.DUMMYFUNCTION("""COMPUTED_VALUE"""),"Yes")</f>
        <v>Yes</v>
      </c>
      <c r="R189" s="1" t="str">
        <f ca="1">IFERROR(__xludf.DUMMYFUNCTION("""COMPUTED_VALUE"""),"Yes")</f>
        <v>Yes</v>
      </c>
      <c r="S189" s="1" t="str">
        <f ca="1">IFERROR(__xludf.DUMMYFUNCTION("""COMPUTED_VALUE"""),"No")</f>
        <v>No</v>
      </c>
      <c r="T189" s="1" t="str">
        <f ca="1">IFERROR(__xludf.DUMMYFUNCTION("""COMPUTED_VALUE"""),"Yes")</f>
        <v>Yes</v>
      </c>
    </row>
    <row r="190" spans="1:20" ht="13" x14ac:dyDescent="0.6">
      <c r="A190" s="10" t="str">
        <f ca="1">IFERROR(__xludf.DUMMYFUNCTION("""COMPUTED_VALUE"""),"Montgomery")</f>
        <v>Montgomery</v>
      </c>
      <c r="B190" s="10" t="str">
        <f ca="1">IFERROR(__xludf.DUMMYFUNCTION("""COMPUTED_VALUE"""),"Takoma Park")</f>
        <v>Takoma Park</v>
      </c>
      <c r="C190" s="10" t="str">
        <f ca="1">IFERROR(__xludf.DUMMYFUNCTION("""COMPUTED_VALUE"""),"Walgreens Takoma Park")</f>
        <v>Walgreens Takoma Park</v>
      </c>
      <c r="D190" s="10" t="str">
        <f ca="1">IFERROR(__xludf.DUMMYFUNCTION("""COMPUTED_VALUE"""),"1329 University Blvd E Takoma Park MD 20912")</f>
        <v>1329 University Blvd E Takoma Park MD 20912</v>
      </c>
      <c r="E190" s="10" t="str">
        <f ca="1">IFERROR(__xludf.DUMMYFUNCTION("""COMPUTED_VALUE"""),"Yes")</f>
        <v>Yes</v>
      </c>
      <c r="F190" s="10" t="str">
        <f ca="1">IFERROR(__xludf.DUMMYFUNCTION("""COMPUTED_VALUE"""),"Pharmacy")</f>
        <v>Pharmacy</v>
      </c>
      <c r="G190" s="10"/>
      <c r="H190" s="1"/>
      <c r="I190" s="2" t="str">
        <f ca="1">IFERROR(__xludf.DUMMYFUNCTION("""COMPUTED_VALUE"""),"https://www.walgreens.com/schedulevaccine")</f>
        <v>https://www.walgreens.com/schedulevaccine</v>
      </c>
      <c r="J190" s="1"/>
      <c r="K190" s="1" t="str">
        <f ca="1">IFERROR(__xludf.DUMMYFUNCTION("""COMPUTED_VALUE"""),"1-800-WALGREENS")</f>
        <v>1-800-WALGREENS</v>
      </c>
      <c r="L190" s="1"/>
      <c r="M190" s="1" t="str">
        <f ca="1">IFERROR(__xludf.DUMMYFUNCTION("""COMPUTED_VALUE"""),"Schedule an appointment using the button below")</f>
        <v>Schedule an appointment using the button below</v>
      </c>
      <c r="N190" s="1"/>
      <c r="O190" s="1" t="str">
        <f ca="1">IFERROR(__xludf.DUMMYFUNCTION("""COMPUTED_VALUE"""),"Yes")</f>
        <v>Yes</v>
      </c>
      <c r="P190" s="1" t="str">
        <f ca="1">IFERROR(__xludf.DUMMYFUNCTION("""COMPUTED_VALUE"""),"20912")</f>
        <v>20912</v>
      </c>
      <c r="Q190" s="1" t="str">
        <f ca="1">IFERROR(__xludf.DUMMYFUNCTION("""COMPUTED_VALUE"""),"Yes")</f>
        <v>Yes</v>
      </c>
      <c r="R190" s="1" t="str">
        <f ca="1">IFERROR(__xludf.DUMMYFUNCTION("""COMPUTED_VALUE"""),"No")</f>
        <v>No</v>
      </c>
      <c r="S190" s="1" t="str">
        <f ca="1">IFERROR(__xludf.DUMMYFUNCTION("""COMPUTED_VALUE"""),"No")</f>
        <v>No</v>
      </c>
      <c r="T190" s="1" t="str">
        <f ca="1">IFERROR(__xludf.DUMMYFUNCTION("""COMPUTED_VALUE"""),"Yes")</f>
        <v>Yes</v>
      </c>
    </row>
    <row r="191" spans="1:20" ht="13" x14ac:dyDescent="0.6">
      <c r="A191" s="10" t="str">
        <f ca="1">IFERROR(__xludf.DUMMYFUNCTION("""COMPUTED_VALUE"""),"Montgomery")</f>
        <v>Montgomery</v>
      </c>
      <c r="B191" s="10" t="str">
        <f ca="1">IFERROR(__xludf.DUMMYFUNCTION("""COMPUTED_VALUE"""),"Bethesda")</f>
        <v>Bethesda</v>
      </c>
      <c r="C191" s="10" t="str">
        <f ca="1">IFERROR(__xludf.DUMMYFUNCTION("""COMPUTED_VALUE"""),"Walgreens Bethesda")</f>
        <v>Walgreens Bethesda</v>
      </c>
      <c r="D191" s="10" t="str">
        <f ca="1">IFERROR(__xludf.DUMMYFUNCTION("""COMPUTED_VALUE"""),"6906 Arlington Rd Bethesda MD 20814")</f>
        <v>6906 Arlington Rd Bethesda MD 20814</v>
      </c>
      <c r="E191" s="10" t="str">
        <f ca="1">IFERROR(__xludf.DUMMYFUNCTION("""COMPUTED_VALUE"""),"Yes")</f>
        <v>Yes</v>
      </c>
      <c r="F191" s="10" t="str">
        <f ca="1">IFERROR(__xludf.DUMMYFUNCTION("""COMPUTED_VALUE"""),"Pharmacy")</f>
        <v>Pharmacy</v>
      </c>
      <c r="G191" s="10"/>
      <c r="H191" s="1"/>
      <c r="I191" s="2" t="str">
        <f ca="1">IFERROR(__xludf.DUMMYFUNCTION("""COMPUTED_VALUE"""),"https://www.walgreens.com/schedulevaccine")</f>
        <v>https://www.walgreens.com/schedulevaccine</v>
      </c>
      <c r="J191" s="1"/>
      <c r="K191" s="1" t="str">
        <f ca="1">IFERROR(__xludf.DUMMYFUNCTION("""COMPUTED_VALUE"""),"1-800-WALGREENS")</f>
        <v>1-800-WALGREENS</v>
      </c>
      <c r="L191" s="1"/>
      <c r="M191" s="1" t="str">
        <f ca="1">IFERROR(__xludf.DUMMYFUNCTION("""COMPUTED_VALUE"""),"Schedule an appointment using the button below")</f>
        <v>Schedule an appointment using the button below</v>
      </c>
      <c r="N191" s="1"/>
      <c r="O191" s="1" t="str">
        <f ca="1">IFERROR(__xludf.DUMMYFUNCTION("""COMPUTED_VALUE"""),"Yes")</f>
        <v>Yes</v>
      </c>
      <c r="P191" s="1" t="str">
        <f ca="1">IFERROR(__xludf.DUMMYFUNCTION("""COMPUTED_VALUE"""),"20814")</f>
        <v>20814</v>
      </c>
      <c r="Q191" s="1" t="str">
        <f ca="1">IFERROR(__xludf.DUMMYFUNCTION("""COMPUTED_VALUE"""),"Yes")</f>
        <v>Yes</v>
      </c>
      <c r="R191" s="1" t="str">
        <f ca="1">IFERROR(__xludf.DUMMYFUNCTION("""COMPUTED_VALUE"""),"No")</f>
        <v>No</v>
      </c>
      <c r="S191" s="1" t="str">
        <f ca="1">IFERROR(__xludf.DUMMYFUNCTION("""COMPUTED_VALUE"""),"No")</f>
        <v>No</v>
      </c>
      <c r="T191" s="1" t="str">
        <f ca="1">IFERROR(__xludf.DUMMYFUNCTION("""COMPUTED_VALUE"""),"Yes")</f>
        <v>Yes</v>
      </c>
    </row>
    <row r="192" spans="1:20" ht="13" x14ac:dyDescent="0.6">
      <c r="A192" s="10" t="str">
        <f ca="1">IFERROR(__xludf.DUMMYFUNCTION("""COMPUTED_VALUE"""),"Montgomery")</f>
        <v>Montgomery</v>
      </c>
      <c r="B192" s="10" t="str">
        <f ca="1">IFERROR(__xludf.DUMMYFUNCTION("""COMPUTED_VALUE"""),"Potomac")</f>
        <v>Potomac</v>
      </c>
      <c r="C192" s="10" t="str">
        <f ca="1">IFERROR(__xludf.DUMMYFUNCTION("""COMPUTED_VALUE"""),"Walgreens Potomac")</f>
        <v>Walgreens Potomac</v>
      </c>
      <c r="D192" s="10" t="str">
        <f ca="1">IFERROR(__xludf.DUMMYFUNCTION("""COMPUTED_VALUE"""),"10134 River Rd Potomac MD 20854")</f>
        <v>10134 River Rd Potomac MD 20854</v>
      </c>
      <c r="E192" s="10" t="str">
        <f ca="1">IFERROR(__xludf.DUMMYFUNCTION("""COMPUTED_VALUE"""),"Yes")</f>
        <v>Yes</v>
      </c>
      <c r="F192" s="10" t="str">
        <f ca="1">IFERROR(__xludf.DUMMYFUNCTION("""COMPUTED_VALUE"""),"Pharmacy")</f>
        <v>Pharmacy</v>
      </c>
      <c r="G192" s="10"/>
      <c r="H192" s="1"/>
      <c r="I192" s="2" t="str">
        <f ca="1">IFERROR(__xludf.DUMMYFUNCTION("""COMPUTED_VALUE"""),"https://www.walgreens.com/schedulevaccine")</f>
        <v>https://www.walgreens.com/schedulevaccine</v>
      </c>
      <c r="J192" s="1"/>
      <c r="K192" s="1" t="str">
        <f ca="1">IFERROR(__xludf.DUMMYFUNCTION("""COMPUTED_VALUE"""),"1-800-WALGREENS")</f>
        <v>1-800-WALGREENS</v>
      </c>
      <c r="L192" s="1"/>
      <c r="M192" s="1" t="str">
        <f ca="1">IFERROR(__xludf.DUMMYFUNCTION("""COMPUTED_VALUE"""),"Schedule an appointment using the button below")</f>
        <v>Schedule an appointment using the button below</v>
      </c>
      <c r="N192" s="1"/>
      <c r="O192" s="1"/>
      <c r="P192" s="1" t="str">
        <f ca="1">IFERROR(__xludf.DUMMYFUNCTION("""COMPUTED_VALUE"""),"20854")</f>
        <v>20854</v>
      </c>
      <c r="Q192" s="1" t="str">
        <f ca="1">IFERROR(__xludf.DUMMYFUNCTION("""COMPUTED_VALUE"""),"Yes")</f>
        <v>Yes</v>
      </c>
      <c r="R192" s="1" t="str">
        <f ca="1">IFERROR(__xludf.DUMMYFUNCTION("""COMPUTED_VALUE"""),"Yes")</f>
        <v>Yes</v>
      </c>
      <c r="S192" s="1" t="str">
        <f ca="1">IFERROR(__xludf.DUMMYFUNCTION("""COMPUTED_VALUE"""),"No")</f>
        <v>No</v>
      </c>
      <c r="T192" s="1" t="str">
        <f ca="1">IFERROR(__xludf.DUMMYFUNCTION("""COMPUTED_VALUE"""),"Yes")</f>
        <v>Yes</v>
      </c>
    </row>
    <row r="193" spans="1:20" ht="13" x14ac:dyDescent="0.6">
      <c r="A193" s="10" t="str">
        <f ca="1">IFERROR(__xludf.DUMMYFUNCTION("""COMPUTED_VALUE"""),"Montgomery")</f>
        <v>Montgomery</v>
      </c>
      <c r="B193" s="10" t="str">
        <f ca="1">IFERROR(__xludf.DUMMYFUNCTION("""COMPUTED_VALUE"""),"Silver Spring")</f>
        <v>Silver Spring</v>
      </c>
      <c r="C193" s="10" t="str">
        <f ca="1">IFERROR(__xludf.DUMMYFUNCTION("""COMPUTED_VALUE"""),"Walgreens Silver Spring")</f>
        <v>Walgreens Silver Spring</v>
      </c>
      <c r="D193" s="10" t="str">
        <f ca="1">IFERROR(__xludf.DUMMYFUNCTION("""COMPUTED_VALUE"""),"13307 New Hampshire Ave Silver Spring MD 20904")</f>
        <v>13307 New Hampshire Ave Silver Spring MD 20904</v>
      </c>
      <c r="E193" s="10" t="str">
        <f ca="1">IFERROR(__xludf.DUMMYFUNCTION("""COMPUTED_VALUE"""),"Yes")</f>
        <v>Yes</v>
      </c>
      <c r="F193" s="10" t="str">
        <f ca="1">IFERROR(__xludf.DUMMYFUNCTION("""COMPUTED_VALUE"""),"Pharmacy")</f>
        <v>Pharmacy</v>
      </c>
      <c r="G193" s="10"/>
      <c r="H193" s="1"/>
      <c r="I193" s="2" t="str">
        <f ca="1">IFERROR(__xludf.DUMMYFUNCTION("""COMPUTED_VALUE"""),"https://www.walgreens.com/schedulevaccine")</f>
        <v>https://www.walgreens.com/schedulevaccine</v>
      </c>
      <c r="J193" s="1"/>
      <c r="K193" s="1" t="str">
        <f ca="1">IFERROR(__xludf.DUMMYFUNCTION("""COMPUTED_VALUE"""),"1-800-WALGREENS")</f>
        <v>1-800-WALGREENS</v>
      </c>
      <c r="L193" s="1"/>
      <c r="M193" s="1" t="str">
        <f ca="1">IFERROR(__xludf.DUMMYFUNCTION("""COMPUTED_VALUE"""),"Schedule an appointment using the button below")</f>
        <v>Schedule an appointment using the button below</v>
      </c>
      <c r="N193" s="1"/>
      <c r="O193" s="1"/>
      <c r="P193" s="1" t="str">
        <f ca="1">IFERROR(__xludf.DUMMYFUNCTION("""COMPUTED_VALUE"""),"20904")</f>
        <v>20904</v>
      </c>
      <c r="Q193" s="1" t="str">
        <f ca="1">IFERROR(__xludf.DUMMYFUNCTION("""COMPUTED_VALUE"""),"Yes")</f>
        <v>Yes</v>
      </c>
      <c r="R193" s="1" t="str">
        <f ca="1">IFERROR(__xludf.DUMMYFUNCTION("""COMPUTED_VALUE"""),"No")</f>
        <v>No</v>
      </c>
      <c r="S193" s="1" t="str">
        <f ca="1">IFERROR(__xludf.DUMMYFUNCTION("""COMPUTED_VALUE"""),"No")</f>
        <v>No</v>
      </c>
      <c r="T193" s="1" t="str">
        <f ca="1">IFERROR(__xludf.DUMMYFUNCTION("""COMPUTED_VALUE"""),"Yes")</f>
        <v>Yes</v>
      </c>
    </row>
    <row r="194" spans="1:20" ht="13" x14ac:dyDescent="0.6">
      <c r="A194" s="10" t="str">
        <f ca="1">IFERROR(__xludf.DUMMYFUNCTION("""COMPUTED_VALUE"""),"Montgomery")</f>
        <v>Montgomery</v>
      </c>
      <c r="B194" s="10" t="str">
        <f ca="1">IFERROR(__xludf.DUMMYFUNCTION("""COMPUTED_VALUE"""),"Germantown")</f>
        <v>Germantown</v>
      </c>
      <c r="C194" s="10" t="str">
        <f ca="1">IFERROR(__xludf.DUMMYFUNCTION("""COMPUTED_VALUE"""),"Walgreens Germantown")</f>
        <v>Walgreens Germantown</v>
      </c>
      <c r="D194" s="10" t="str">
        <f ca="1">IFERROR(__xludf.DUMMYFUNCTION("""COMPUTED_VALUE"""),"19927 Century Blvd Germantown MD 20874")</f>
        <v>19927 Century Blvd Germantown MD 20874</v>
      </c>
      <c r="E194" s="10" t="str">
        <f ca="1">IFERROR(__xludf.DUMMYFUNCTION("""COMPUTED_VALUE"""),"Yes")</f>
        <v>Yes</v>
      </c>
      <c r="F194" s="10" t="str">
        <f ca="1">IFERROR(__xludf.DUMMYFUNCTION("""COMPUTED_VALUE"""),"Pharmacy")</f>
        <v>Pharmacy</v>
      </c>
      <c r="G194" s="10"/>
      <c r="H194" s="1"/>
      <c r="I194" s="2" t="str">
        <f ca="1">IFERROR(__xludf.DUMMYFUNCTION("""COMPUTED_VALUE"""),"https://www.walgreens.com/schedulevaccine")</f>
        <v>https://www.walgreens.com/schedulevaccine</v>
      </c>
      <c r="J194" s="1"/>
      <c r="K194" s="1" t="str">
        <f ca="1">IFERROR(__xludf.DUMMYFUNCTION("""COMPUTED_VALUE"""),"1-800-WALGREENS")</f>
        <v>1-800-WALGREENS</v>
      </c>
      <c r="L194" s="1"/>
      <c r="M194" s="1" t="str">
        <f ca="1">IFERROR(__xludf.DUMMYFUNCTION("""COMPUTED_VALUE"""),"Schedule an appointment using the button below")</f>
        <v>Schedule an appointment using the button below</v>
      </c>
      <c r="N194" s="1"/>
      <c r="O194" s="1"/>
      <c r="P194" s="1" t="str">
        <f ca="1">IFERROR(__xludf.DUMMYFUNCTION("""COMPUTED_VALUE"""),"20874")</f>
        <v>20874</v>
      </c>
      <c r="Q194" s="1" t="str">
        <f ca="1">IFERROR(__xludf.DUMMYFUNCTION("""COMPUTED_VALUE"""),"Yes")</f>
        <v>Yes</v>
      </c>
      <c r="R194" s="1" t="str">
        <f ca="1">IFERROR(__xludf.DUMMYFUNCTION("""COMPUTED_VALUE"""),"No")</f>
        <v>No</v>
      </c>
      <c r="S194" s="1" t="str">
        <f ca="1">IFERROR(__xludf.DUMMYFUNCTION("""COMPUTED_VALUE"""),"No")</f>
        <v>No</v>
      </c>
      <c r="T194" s="1" t="str">
        <f ca="1">IFERROR(__xludf.DUMMYFUNCTION("""COMPUTED_VALUE"""),"Yes")</f>
        <v>Yes</v>
      </c>
    </row>
    <row r="195" spans="1:20" ht="13" x14ac:dyDescent="0.6">
      <c r="A195" s="10" t="str">
        <f ca="1">IFERROR(__xludf.DUMMYFUNCTION("""COMPUTED_VALUE"""),"Montgomery")</f>
        <v>Montgomery</v>
      </c>
      <c r="B195" s="10" t="str">
        <f ca="1">IFERROR(__xludf.DUMMYFUNCTION("""COMPUTED_VALUE"""),"Silver Spring")</f>
        <v>Silver Spring</v>
      </c>
      <c r="C195" s="10" t="str">
        <f ca="1">IFERROR(__xludf.DUMMYFUNCTION("""COMPUTED_VALUE"""),"Walgreens Silver Spring")</f>
        <v>Walgreens Silver Spring</v>
      </c>
      <c r="D195" s="10" t="str">
        <f ca="1">IFERROR(__xludf.DUMMYFUNCTION("""COMPUTED_VALUE"""),"11215 New Hampshire Ave Silver Spring MD 20904")</f>
        <v>11215 New Hampshire Ave Silver Spring MD 20904</v>
      </c>
      <c r="E195" s="10" t="str">
        <f ca="1">IFERROR(__xludf.DUMMYFUNCTION("""COMPUTED_VALUE"""),"Yes")</f>
        <v>Yes</v>
      </c>
      <c r="F195" s="10" t="str">
        <f ca="1">IFERROR(__xludf.DUMMYFUNCTION("""COMPUTED_VALUE"""),"Pharmacy")</f>
        <v>Pharmacy</v>
      </c>
      <c r="G195" s="10"/>
      <c r="H195" s="1"/>
      <c r="I195" s="2" t="str">
        <f ca="1">IFERROR(__xludf.DUMMYFUNCTION("""COMPUTED_VALUE"""),"https://www.walgreens.com/schedulevaccine")</f>
        <v>https://www.walgreens.com/schedulevaccine</v>
      </c>
      <c r="J195" s="1"/>
      <c r="K195" s="1" t="str">
        <f ca="1">IFERROR(__xludf.DUMMYFUNCTION("""COMPUTED_VALUE"""),"1-800-WALGREENS")</f>
        <v>1-800-WALGREENS</v>
      </c>
      <c r="L195" s="1"/>
      <c r="M195" s="1" t="str">
        <f ca="1">IFERROR(__xludf.DUMMYFUNCTION("""COMPUTED_VALUE"""),"Schedule an appointment using the button below")</f>
        <v>Schedule an appointment using the button below</v>
      </c>
      <c r="N195" s="1"/>
      <c r="O195" s="1"/>
      <c r="P195" s="1" t="str">
        <f ca="1">IFERROR(__xludf.DUMMYFUNCTION("""COMPUTED_VALUE"""),"20904")</f>
        <v>20904</v>
      </c>
      <c r="Q195" s="1" t="str">
        <f ca="1">IFERROR(__xludf.DUMMYFUNCTION("""COMPUTED_VALUE"""),"Yes")</f>
        <v>Yes</v>
      </c>
      <c r="R195" s="1" t="str">
        <f ca="1">IFERROR(__xludf.DUMMYFUNCTION("""COMPUTED_VALUE"""),"No")</f>
        <v>No</v>
      </c>
      <c r="S195" s="1" t="str">
        <f ca="1">IFERROR(__xludf.DUMMYFUNCTION("""COMPUTED_VALUE"""),"No")</f>
        <v>No</v>
      </c>
      <c r="T195" s="1" t="str">
        <f ca="1">IFERROR(__xludf.DUMMYFUNCTION("""COMPUTED_VALUE"""),"Yes")</f>
        <v>Yes</v>
      </c>
    </row>
    <row r="196" spans="1:20" ht="13" x14ac:dyDescent="0.6">
      <c r="A196" s="10" t="str">
        <f ca="1">IFERROR(__xludf.DUMMYFUNCTION("""COMPUTED_VALUE"""),"Montgomery")</f>
        <v>Montgomery</v>
      </c>
      <c r="B196" s="10" t="str">
        <f ca="1">IFERROR(__xludf.DUMMYFUNCTION("""COMPUTED_VALUE"""),"Rockville")</f>
        <v>Rockville</v>
      </c>
      <c r="C196" s="10" t="str">
        <f ca="1">IFERROR(__xludf.DUMMYFUNCTION("""COMPUTED_VALUE"""),"Walgreens Rockville")</f>
        <v>Walgreens Rockville</v>
      </c>
      <c r="D196" s="10" t="str">
        <f ca="1">IFERROR(__xludf.DUMMYFUNCTION("""COMPUTED_VALUE"""),"430 Hungerford Dr Rockville MD 20850")</f>
        <v>430 Hungerford Dr Rockville MD 20850</v>
      </c>
      <c r="E196" s="10" t="str">
        <f ca="1">IFERROR(__xludf.DUMMYFUNCTION("""COMPUTED_VALUE"""),"Yes")</f>
        <v>Yes</v>
      </c>
      <c r="F196" s="10" t="str">
        <f ca="1">IFERROR(__xludf.DUMMYFUNCTION("""COMPUTED_VALUE"""),"Pharmacy")</f>
        <v>Pharmacy</v>
      </c>
      <c r="G196" s="10"/>
      <c r="H196" s="1"/>
      <c r="I196" s="2" t="str">
        <f ca="1">IFERROR(__xludf.DUMMYFUNCTION("""COMPUTED_VALUE"""),"https://www.walgreens.com/schedulevaccine")</f>
        <v>https://www.walgreens.com/schedulevaccine</v>
      </c>
      <c r="J196" s="1"/>
      <c r="K196" s="1" t="str">
        <f ca="1">IFERROR(__xludf.DUMMYFUNCTION("""COMPUTED_VALUE"""),"1-800-WALGREENS")</f>
        <v>1-800-WALGREENS</v>
      </c>
      <c r="L196" s="1"/>
      <c r="M196" s="1" t="str">
        <f ca="1">IFERROR(__xludf.DUMMYFUNCTION("""COMPUTED_VALUE"""),"Schedule an appointment using the button below")</f>
        <v>Schedule an appointment using the button below</v>
      </c>
      <c r="N196" s="1"/>
      <c r="O196" s="1"/>
      <c r="P196" s="1" t="str">
        <f ca="1">IFERROR(__xludf.DUMMYFUNCTION("""COMPUTED_VALUE"""),"20850")</f>
        <v>20850</v>
      </c>
      <c r="Q196" s="1" t="str">
        <f ca="1">IFERROR(__xludf.DUMMYFUNCTION("""COMPUTED_VALUE"""),"Yes")</f>
        <v>Yes</v>
      </c>
      <c r="R196" s="1" t="str">
        <f ca="1">IFERROR(__xludf.DUMMYFUNCTION("""COMPUTED_VALUE"""),"No")</f>
        <v>No</v>
      </c>
      <c r="S196" s="1" t="str">
        <f ca="1">IFERROR(__xludf.DUMMYFUNCTION("""COMPUTED_VALUE"""),"No")</f>
        <v>No</v>
      </c>
      <c r="T196" s="1" t="str">
        <f ca="1">IFERROR(__xludf.DUMMYFUNCTION("""COMPUTED_VALUE"""),"Yes")</f>
        <v>Yes</v>
      </c>
    </row>
    <row r="197" spans="1:20" ht="13" x14ac:dyDescent="0.6">
      <c r="A197" s="10" t="str">
        <f ca="1">IFERROR(__xludf.DUMMYFUNCTION("""COMPUTED_VALUE"""),"Montgomery")</f>
        <v>Montgomery</v>
      </c>
      <c r="B197" s="10" t="str">
        <f ca="1">IFERROR(__xludf.DUMMYFUNCTION("""COMPUTED_VALUE"""),"Gaithersburg")</f>
        <v>Gaithersburg</v>
      </c>
      <c r="C197" s="10" t="str">
        <f ca="1">IFERROR(__xludf.DUMMYFUNCTION("""COMPUTED_VALUE"""),"CVS Gaithersburg")</f>
        <v>CVS Gaithersburg</v>
      </c>
      <c r="D197" s="10" t="str">
        <f ca="1">IFERROR(__xludf.DUMMYFUNCTION("""COMPUTED_VALUE"""),"12215 Darnestown Road Gaithersburg MD 20878")</f>
        <v>12215 Darnestown Road Gaithersburg MD 20878</v>
      </c>
      <c r="E197" s="10" t="str">
        <f ca="1">IFERROR(__xludf.DUMMYFUNCTION("""COMPUTED_VALUE"""),"Yes")</f>
        <v>Yes</v>
      </c>
      <c r="F197" s="10" t="str">
        <f ca="1">IFERROR(__xludf.DUMMYFUNCTION("""COMPUTED_VALUE"""),"Pharmacy")</f>
        <v>Pharmacy</v>
      </c>
      <c r="G197" s="10"/>
      <c r="H197" s="1"/>
      <c r="I197" s="2" t="str">
        <f ca="1">IFERROR(__xludf.DUMMYFUNCTION("""COMPUTED_VALUE"""),"https://www.cvs.com/immunizations/covid-19-vaccine")</f>
        <v>https://www.cvs.com/immunizations/covid-19-vaccine</v>
      </c>
      <c r="J197" s="1" t="str">
        <f ca="1">IFERROR(__xludf.DUMMYFUNCTION("""COMPUTED_VALUE"""),"Yes")</f>
        <v>Yes</v>
      </c>
      <c r="K197" s="1" t="str">
        <f ca="1">IFERROR(__xludf.DUMMYFUNCTION("""COMPUTED_VALUE"""),"800-746-7287")</f>
        <v>800-746-7287</v>
      </c>
      <c r="L197" s="1"/>
      <c r="M197" s="1" t="str">
        <f ca="1">IFERROR(__xludf.DUMMYFUNCTION("""COMPUTED_VALUE"""),"Schedule an appointment using the button below")</f>
        <v>Schedule an appointment using the button below</v>
      </c>
      <c r="N197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97" s="1" t="str">
        <f ca="1">IFERROR(__xludf.DUMMYFUNCTION("""COMPUTED_VALUE"""),"Yes")</f>
        <v>Yes</v>
      </c>
      <c r="P197" s="1" t="str">
        <f ca="1">IFERROR(__xludf.DUMMYFUNCTION("""COMPUTED_VALUE"""),"20878")</f>
        <v>20878</v>
      </c>
      <c r="Q197" s="1" t="str">
        <f ca="1">IFERROR(__xludf.DUMMYFUNCTION("""COMPUTED_VALUE"""),"Yes")</f>
        <v>Yes</v>
      </c>
      <c r="R197" s="1" t="str">
        <f ca="1">IFERROR(__xludf.DUMMYFUNCTION("""COMPUTED_VALUE"""),"No")</f>
        <v>No</v>
      </c>
      <c r="S197" s="1" t="str">
        <f ca="1">IFERROR(__xludf.DUMMYFUNCTION("""COMPUTED_VALUE"""),"No")</f>
        <v>No</v>
      </c>
      <c r="T197" s="1" t="str">
        <f ca="1">IFERROR(__xludf.DUMMYFUNCTION("""COMPUTED_VALUE"""),"Yes")</f>
        <v>Yes</v>
      </c>
    </row>
    <row r="198" spans="1:20" ht="13" x14ac:dyDescent="0.6">
      <c r="A198" s="10" t="str">
        <f ca="1">IFERROR(__xludf.DUMMYFUNCTION("""COMPUTED_VALUE"""),"Montgomery")</f>
        <v>Montgomery</v>
      </c>
      <c r="B198" s="10" t="str">
        <f ca="1">IFERROR(__xludf.DUMMYFUNCTION("""COMPUTED_VALUE"""),"Wheaton")</f>
        <v>Wheaton</v>
      </c>
      <c r="C198" s="10" t="str">
        <f ca="1">IFERROR(__xludf.DUMMYFUNCTION("""COMPUTED_VALUE"""),"CVS Wheaton")</f>
        <v>CVS Wheaton</v>
      </c>
      <c r="D198" s="10" t="str">
        <f ca="1">IFERROR(__xludf.DUMMYFUNCTION("""COMPUTED_VALUE"""),"13729 Connecticut Ave. Wheaton MD 20906")</f>
        <v>13729 Connecticut Ave. Wheaton MD 20906</v>
      </c>
      <c r="E198" s="10" t="str">
        <f ca="1">IFERROR(__xludf.DUMMYFUNCTION("""COMPUTED_VALUE"""),"Yes")</f>
        <v>Yes</v>
      </c>
      <c r="F198" s="10" t="str">
        <f ca="1">IFERROR(__xludf.DUMMYFUNCTION("""COMPUTED_VALUE"""),"Pharmacy")</f>
        <v>Pharmacy</v>
      </c>
      <c r="G198" s="10"/>
      <c r="H198" s="1"/>
      <c r="I198" s="2" t="str">
        <f ca="1">IFERROR(__xludf.DUMMYFUNCTION("""COMPUTED_VALUE"""),"https://www.cvs.com/immunizations/covid-19-vaccine")</f>
        <v>https://www.cvs.com/immunizations/covid-19-vaccine</v>
      </c>
      <c r="J198" s="1" t="str">
        <f ca="1">IFERROR(__xludf.DUMMYFUNCTION("""COMPUTED_VALUE"""),"Yes")</f>
        <v>Yes</v>
      </c>
      <c r="K198" s="1" t="str">
        <f ca="1">IFERROR(__xludf.DUMMYFUNCTION("""COMPUTED_VALUE"""),"800-746-7287")</f>
        <v>800-746-7287</v>
      </c>
      <c r="L198" s="1"/>
      <c r="M198" s="1" t="str">
        <f ca="1">IFERROR(__xludf.DUMMYFUNCTION("""COMPUTED_VALUE"""),"Schedule an appointment using the button below")</f>
        <v>Schedule an appointment using the button below</v>
      </c>
      <c r="N198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98" s="1" t="str">
        <f ca="1">IFERROR(__xludf.DUMMYFUNCTION("""COMPUTED_VALUE"""),"Yes")</f>
        <v>Yes</v>
      </c>
      <c r="P198" s="1" t="str">
        <f ca="1">IFERROR(__xludf.DUMMYFUNCTION("""COMPUTED_VALUE"""),"20906")</f>
        <v>20906</v>
      </c>
      <c r="Q198" s="1" t="str">
        <f ca="1">IFERROR(__xludf.DUMMYFUNCTION("""COMPUTED_VALUE"""),"Yes")</f>
        <v>Yes</v>
      </c>
      <c r="R198" s="1" t="str">
        <f ca="1">IFERROR(__xludf.DUMMYFUNCTION("""COMPUTED_VALUE"""),"No")</f>
        <v>No</v>
      </c>
      <c r="S198" s="1" t="str">
        <f ca="1">IFERROR(__xludf.DUMMYFUNCTION("""COMPUTED_VALUE"""),"No")</f>
        <v>No</v>
      </c>
      <c r="T198" s="1" t="str">
        <f ca="1">IFERROR(__xludf.DUMMYFUNCTION("""COMPUTED_VALUE"""),"Yes")</f>
        <v>Yes</v>
      </c>
    </row>
    <row r="199" spans="1:20" ht="13" x14ac:dyDescent="0.6">
      <c r="A199" s="10" t="str">
        <f ca="1">IFERROR(__xludf.DUMMYFUNCTION("""COMPUTED_VALUE"""),"Montgomery")</f>
        <v>Montgomery</v>
      </c>
      <c r="B199" s="10" t="str">
        <f ca="1">IFERROR(__xludf.DUMMYFUNCTION("""COMPUTED_VALUE"""),"Silver Spring")</f>
        <v>Silver Spring</v>
      </c>
      <c r="C199" s="10" t="str">
        <f ca="1">IFERROR(__xludf.DUMMYFUNCTION("""COMPUTED_VALUE"""),"CVS Silver Spring")</f>
        <v>CVS Silver Spring</v>
      </c>
      <c r="D199" s="10" t="str">
        <f ca="1">IFERROR(__xludf.DUMMYFUNCTION("""COMPUTED_VALUE"""),"12359 Georgia Avenue Silver Spring MD 20906")</f>
        <v>12359 Georgia Avenue Silver Spring MD 20906</v>
      </c>
      <c r="E199" s="10" t="str">
        <f ca="1">IFERROR(__xludf.DUMMYFUNCTION("""COMPUTED_VALUE"""),"Yes")</f>
        <v>Yes</v>
      </c>
      <c r="F199" s="10" t="str">
        <f ca="1">IFERROR(__xludf.DUMMYFUNCTION("""COMPUTED_VALUE"""),"Pharmacy")</f>
        <v>Pharmacy</v>
      </c>
      <c r="G199" s="10"/>
      <c r="H199" s="1"/>
      <c r="I199" s="2" t="str">
        <f ca="1">IFERROR(__xludf.DUMMYFUNCTION("""COMPUTED_VALUE"""),"https://www.cvs.com/immunizations/covid-19-vaccine")</f>
        <v>https://www.cvs.com/immunizations/covid-19-vaccine</v>
      </c>
      <c r="J199" s="1" t="str">
        <f ca="1">IFERROR(__xludf.DUMMYFUNCTION("""COMPUTED_VALUE"""),"Yes")</f>
        <v>Yes</v>
      </c>
      <c r="K199" s="1" t="str">
        <f ca="1">IFERROR(__xludf.DUMMYFUNCTION("""COMPUTED_VALUE"""),"800-746-7287")</f>
        <v>800-746-7287</v>
      </c>
      <c r="L199" s="1"/>
      <c r="M199" s="1" t="str">
        <f ca="1">IFERROR(__xludf.DUMMYFUNCTION("""COMPUTED_VALUE"""),"Schedule an appointment using the button below")</f>
        <v>Schedule an appointment using the button below</v>
      </c>
      <c r="N199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199" s="1" t="str">
        <f ca="1">IFERROR(__xludf.DUMMYFUNCTION("""COMPUTED_VALUE"""),"Yes")</f>
        <v>Yes</v>
      </c>
      <c r="P199" s="1" t="str">
        <f ca="1">IFERROR(__xludf.DUMMYFUNCTION("""COMPUTED_VALUE"""),"20906")</f>
        <v>20906</v>
      </c>
      <c r="Q199" s="1" t="str">
        <f ca="1">IFERROR(__xludf.DUMMYFUNCTION("""COMPUTED_VALUE"""),"Yes")</f>
        <v>Yes</v>
      </c>
      <c r="R199" s="1" t="str">
        <f ca="1">IFERROR(__xludf.DUMMYFUNCTION("""COMPUTED_VALUE"""),"No")</f>
        <v>No</v>
      </c>
      <c r="S199" s="1" t="str">
        <f ca="1">IFERROR(__xludf.DUMMYFUNCTION("""COMPUTED_VALUE"""),"No")</f>
        <v>No</v>
      </c>
      <c r="T199" s="1" t="str">
        <f ca="1">IFERROR(__xludf.DUMMYFUNCTION("""COMPUTED_VALUE"""),"Yes")</f>
        <v>Yes</v>
      </c>
    </row>
    <row r="200" spans="1:20" ht="13" x14ac:dyDescent="0.6">
      <c r="A200" s="10" t="str">
        <f ca="1">IFERROR(__xludf.DUMMYFUNCTION("""COMPUTED_VALUE"""),"Montgomery")</f>
        <v>Montgomery</v>
      </c>
      <c r="B200" s="10" t="str">
        <f ca="1">IFERROR(__xludf.DUMMYFUNCTION("""COMPUTED_VALUE"""),"Germantown")</f>
        <v>Germantown</v>
      </c>
      <c r="C200" s="10" t="str">
        <f ca="1">IFERROR(__xludf.DUMMYFUNCTION("""COMPUTED_VALUE"""),"Walmart Germantown")</f>
        <v>Walmart Germantown</v>
      </c>
      <c r="D200" s="10" t="str">
        <f ca="1">IFERROR(__xludf.DUMMYFUNCTION("""COMPUTED_VALUE"""),"20910 Frederick Rd Germantown MD 20876")</f>
        <v>20910 Frederick Rd Germantown MD 20876</v>
      </c>
      <c r="E200" s="10" t="str">
        <f ca="1">IFERROR(__xludf.DUMMYFUNCTION("""COMPUTED_VALUE"""),"Yes")</f>
        <v>Yes</v>
      </c>
      <c r="F200" s="10" t="str">
        <f ca="1">IFERROR(__xludf.DUMMYFUNCTION("""COMPUTED_VALUE"""),"Pharmacy")</f>
        <v>Pharmacy</v>
      </c>
      <c r="G200" s="10"/>
      <c r="H200" s="1"/>
      <c r="I200" s="2" t="str">
        <f ca="1">IFERROR(__xludf.DUMMYFUNCTION("""COMPUTED_VALUE"""),"https://walmart.com/covidvaccine")</f>
        <v>https://walmart.com/covidvaccine</v>
      </c>
      <c r="J200" s="1"/>
      <c r="K200" s="1" t="str">
        <f ca="1">IFERROR(__xludf.DUMMYFUNCTION("""COMPUTED_VALUE"""),"301-515-6703")</f>
        <v>301-515-6703</v>
      </c>
      <c r="L200" s="1"/>
      <c r="M200" s="1" t="str">
        <f ca="1">IFERROR(__xludf.DUMMYFUNCTION("""COMPUTED_VALUE"""),"Schedule an appointment using the button below")</f>
        <v>Schedule an appointment using the button below</v>
      </c>
      <c r="N200" s="1"/>
      <c r="O200" s="1" t="str">
        <f ca="1">IFERROR(__xludf.DUMMYFUNCTION("""COMPUTED_VALUE"""),"Yes")</f>
        <v>Yes</v>
      </c>
      <c r="P200" s="1" t="str">
        <f ca="1">IFERROR(__xludf.DUMMYFUNCTION("""COMPUTED_VALUE"""),"20876")</f>
        <v>20876</v>
      </c>
      <c r="Q200" s="1" t="str">
        <f ca="1">IFERROR(__xludf.DUMMYFUNCTION("""COMPUTED_VALUE"""),"Yes")</f>
        <v>Yes</v>
      </c>
      <c r="R200" s="1" t="str">
        <f ca="1">IFERROR(__xludf.DUMMYFUNCTION("""COMPUTED_VALUE"""),"Yes")</f>
        <v>Yes</v>
      </c>
      <c r="S200" s="1" t="str">
        <f ca="1">IFERROR(__xludf.DUMMYFUNCTION("""COMPUTED_VALUE"""),"No")</f>
        <v>No</v>
      </c>
      <c r="T200" s="1" t="str">
        <f ca="1">IFERROR(__xludf.DUMMYFUNCTION("""COMPUTED_VALUE"""),"Yes")</f>
        <v>Yes</v>
      </c>
    </row>
    <row r="201" spans="1:20" ht="13" x14ac:dyDescent="0.6">
      <c r="A201" s="10" t="str">
        <f ca="1">IFERROR(__xludf.DUMMYFUNCTION("""COMPUTED_VALUE"""),"Montgomery")</f>
        <v>Montgomery</v>
      </c>
      <c r="B201" s="10" t="str">
        <f ca="1">IFERROR(__xludf.DUMMYFUNCTION("""COMPUTED_VALUE"""),"Gaithersburg")</f>
        <v>Gaithersburg</v>
      </c>
      <c r="C201" s="10" t="str">
        <f ca="1">IFERROR(__xludf.DUMMYFUNCTION("""COMPUTED_VALUE"""),"Safeway Gaithersburg")</f>
        <v>Safeway Gaithersburg</v>
      </c>
      <c r="D201" s="10" t="str">
        <f ca="1">IFERROR(__xludf.DUMMYFUNCTION("""COMPUTED_VALUE"""),"12251 Darnestown Rd Gaithersburg MD 20878")</f>
        <v>12251 Darnestown Rd Gaithersburg MD 20878</v>
      </c>
      <c r="E201" s="10" t="str">
        <f ca="1">IFERROR(__xludf.DUMMYFUNCTION("""COMPUTED_VALUE"""),"Yes")</f>
        <v>Yes</v>
      </c>
      <c r="F201" s="10" t="str">
        <f ca="1">IFERROR(__xludf.DUMMYFUNCTION("""COMPUTED_VALUE"""),"Pharmacy")</f>
        <v>Pharmacy</v>
      </c>
      <c r="G201" s="10"/>
      <c r="H201" s="1"/>
      <c r="I201" s="2" t="str">
        <f ca="1">IFERROR(__xludf.DUMMYFUNCTION("""COMPUTED_VALUE"""),"https://www.safeway.com/covid-19")</f>
        <v>https://www.safeway.com/covid-19</v>
      </c>
      <c r="J201" s="1"/>
      <c r="K201" s="1"/>
      <c r="L201" s="1"/>
      <c r="M201" s="1" t="str">
        <f ca="1">IFERROR(__xludf.DUMMYFUNCTION("""COMPUTED_VALUE"""),"Schedule an appointment using the button below")</f>
        <v>Schedule an appointment using the button below</v>
      </c>
      <c r="N201" s="1"/>
      <c r="O201" s="1" t="str">
        <f ca="1">IFERROR(__xludf.DUMMYFUNCTION("""COMPUTED_VALUE"""),"Yes")</f>
        <v>Yes</v>
      </c>
      <c r="P201" s="1" t="str">
        <f ca="1">IFERROR(__xludf.DUMMYFUNCTION("""COMPUTED_VALUE"""),"20878")</f>
        <v>20878</v>
      </c>
      <c r="Q201" s="1" t="str">
        <f ca="1">IFERROR(__xludf.DUMMYFUNCTION("""COMPUTED_VALUE"""),"Yes")</f>
        <v>Yes</v>
      </c>
      <c r="R201" s="1" t="str">
        <f ca="1">IFERROR(__xludf.DUMMYFUNCTION("""COMPUTED_VALUE"""),"Yes")</f>
        <v>Yes</v>
      </c>
      <c r="S201" s="1" t="str">
        <f ca="1">IFERROR(__xludf.DUMMYFUNCTION("""COMPUTED_VALUE"""),"No")</f>
        <v>No</v>
      </c>
      <c r="T201" s="1" t="str">
        <f ca="1">IFERROR(__xludf.DUMMYFUNCTION("""COMPUTED_VALUE"""),"Yes")</f>
        <v>Yes</v>
      </c>
    </row>
    <row r="202" spans="1:20" ht="13" x14ac:dyDescent="0.6">
      <c r="A202" s="10" t="str">
        <f ca="1">IFERROR(__xludf.DUMMYFUNCTION("""COMPUTED_VALUE"""),"Montgomery")</f>
        <v>Montgomery</v>
      </c>
      <c r="B202" s="10" t="str">
        <f ca="1">IFERROR(__xludf.DUMMYFUNCTION("""COMPUTED_VALUE"""),"Rockville")</f>
        <v>Rockville</v>
      </c>
      <c r="C202" s="10" t="str">
        <f ca="1">IFERROR(__xludf.DUMMYFUNCTION("""COMPUTED_VALUE"""),"Safeway Rockville")</f>
        <v>Safeway Rockville</v>
      </c>
      <c r="D202" s="10" t="str">
        <f ca="1">IFERROR(__xludf.DUMMYFUNCTION("""COMPUTED_VALUE"""),"403 Redland Blvd. Rockville MD 20850")</f>
        <v>403 Redland Blvd. Rockville MD 20850</v>
      </c>
      <c r="E202" s="10" t="str">
        <f ca="1">IFERROR(__xludf.DUMMYFUNCTION("""COMPUTED_VALUE"""),"Yes")</f>
        <v>Yes</v>
      </c>
      <c r="F202" s="10" t="str">
        <f ca="1">IFERROR(__xludf.DUMMYFUNCTION("""COMPUTED_VALUE"""),"Pharmacy")</f>
        <v>Pharmacy</v>
      </c>
      <c r="G202" s="10"/>
      <c r="H202" s="1"/>
      <c r="I202" s="2" t="str">
        <f ca="1">IFERROR(__xludf.DUMMYFUNCTION("""COMPUTED_VALUE"""),"https://www.safeway.com/covid-19")</f>
        <v>https://www.safeway.com/covid-19</v>
      </c>
      <c r="J202" s="1"/>
      <c r="K202" s="1"/>
      <c r="L202" s="1"/>
      <c r="M202" s="1" t="str">
        <f ca="1">IFERROR(__xludf.DUMMYFUNCTION("""COMPUTED_VALUE"""),"Schedule an appointment using the button below")</f>
        <v>Schedule an appointment using the button below</v>
      </c>
      <c r="N202" s="1"/>
      <c r="O202" s="1" t="str">
        <f ca="1">IFERROR(__xludf.DUMMYFUNCTION("""COMPUTED_VALUE"""),"Yes")</f>
        <v>Yes</v>
      </c>
      <c r="P202" s="1" t="str">
        <f ca="1">IFERROR(__xludf.DUMMYFUNCTION("""COMPUTED_VALUE"""),"20850")</f>
        <v>20850</v>
      </c>
      <c r="Q202" s="1" t="str">
        <f ca="1">IFERROR(__xludf.DUMMYFUNCTION("""COMPUTED_VALUE"""),"Yes")</f>
        <v>Yes</v>
      </c>
      <c r="R202" s="1" t="str">
        <f ca="1">IFERROR(__xludf.DUMMYFUNCTION("""COMPUTED_VALUE"""),"Yes")</f>
        <v>Yes</v>
      </c>
      <c r="S202" s="1" t="str">
        <f ca="1">IFERROR(__xludf.DUMMYFUNCTION("""COMPUTED_VALUE"""),"Yes")</f>
        <v>Yes</v>
      </c>
      <c r="T202" s="1" t="str">
        <f ca="1">IFERROR(__xludf.DUMMYFUNCTION("""COMPUTED_VALUE"""),"Yes")</f>
        <v>Yes</v>
      </c>
    </row>
    <row r="203" spans="1:20" ht="13" x14ac:dyDescent="0.6">
      <c r="A203" s="10" t="str">
        <f ca="1">IFERROR(__xludf.DUMMYFUNCTION("""COMPUTED_VALUE"""),"Montgomery")</f>
        <v>Montgomery</v>
      </c>
      <c r="B203" s="10" t="str">
        <f ca="1">IFERROR(__xludf.DUMMYFUNCTION("""COMPUTED_VALUE"""),"Olney")</f>
        <v>Olney</v>
      </c>
      <c r="C203" s="10" t="str">
        <f ca="1">IFERROR(__xludf.DUMMYFUNCTION("""COMPUTED_VALUE"""),"Safeway Olney")</f>
        <v>Safeway Olney</v>
      </c>
      <c r="D203" s="10" t="str">
        <f ca="1">IFERROR(__xludf.DUMMYFUNCTION("""COMPUTED_VALUE"""),"3333 Spartan Road Olney MD 20832")</f>
        <v>3333 Spartan Road Olney MD 20832</v>
      </c>
      <c r="E203" s="10" t="str">
        <f ca="1">IFERROR(__xludf.DUMMYFUNCTION("""COMPUTED_VALUE"""),"Yes")</f>
        <v>Yes</v>
      </c>
      <c r="F203" s="10" t="str">
        <f ca="1">IFERROR(__xludf.DUMMYFUNCTION("""COMPUTED_VALUE"""),"Pharmacy")</f>
        <v>Pharmacy</v>
      </c>
      <c r="G203" s="10"/>
      <c r="H203" s="1"/>
      <c r="I203" s="2" t="str">
        <f ca="1">IFERROR(__xludf.DUMMYFUNCTION("""COMPUTED_VALUE"""),"https://www.safeway.com/covid-19")</f>
        <v>https://www.safeway.com/covid-19</v>
      </c>
      <c r="J203" s="1"/>
      <c r="K203" s="1"/>
      <c r="L203" s="1"/>
      <c r="M203" s="1" t="str">
        <f ca="1">IFERROR(__xludf.DUMMYFUNCTION("""COMPUTED_VALUE"""),"Schedule an appointment using the button below")</f>
        <v>Schedule an appointment using the button below</v>
      </c>
      <c r="N203" s="1"/>
      <c r="O203" s="1" t="str">
        <f ca="1">IFERROR(__xludf.DUMMYFUNCTION("""COMPUTED_VALUE"""),"Yes")</f>
        <v>Yes</v>
      </c>
      <c r="P203" s="1" t="str">
        <f ca="1">IFERROR(__xludf.DUMMYFUNCTION("""COMPUTED_VALUE"""),"20832")</f>
        <v>20832</v>
      </c>
      <c r="Q203" s="1" t="str">
        <f ca="1">IFERROR(__xludf.DUMMYFUNCTION("""COMPUTED_VALUE"""),"Yes")</f>
        <v>Yes</v>
      </c>
      <c r="R203" s="1" t="str">
        <f ca="1">IFERROR(__xludf.DUMMYFUNCTION("""COMPUTED_VALUE"""),"Yes")</f>
        <v>Yes</v>
      </c>
      <c r="S203" s="1" t="str">
        <f ca="1">IFERROR(__xludf.DUMMYFUNCTION("""COMPUTED_VALUE"""),"No")</f>
        <v>No</v>
      </c>
      <c r="T203" s="1" t="str">
        <f ca="1">IFERROR(__xludf.DUMMYFUNCTION("""COMPUTED_VALUE"""),"Yes")</f>
        <v>Yes</v>
      </c>
    </row>
    <row r="204" spans="1:20" ht="13" x14ac:dyDescent="0.6">
      <c r="A204" s="10" t="str">
        <f ca="1">IFERROR(__xludf.DUMMYFUNCTION("""COMPUTED_VALUE"""),"Montgomery")</f>
        <v>Montgomery</v>
      </c>
      <c r="B204" s="10" t="str">
        <f ca="1">IFERROR(__xludf.DUMMYFUNCTION("""COMPUTED_VALUE"""),"Bethesda")</f>
        <v>Bethesda</v>
      </c>
      <c r="C204" s="10" t="str">
        <f ca="1">IFERROR(__xludf.DUMMYFUNCTION("""COMPUTED_VALUE"""),"Safeway Bethesda")</f>
        <v>Safeway Bethesda</v>
      </c>
      <c r="D204" s="10" t="str">
        <f ca="1">IFERROR(__xludf.DUMMYFUNCTION("""COMPUTED_VALUE"""),"5000 Bradley Blvd Bethesda MD 20815")</f>
        <v>5000 Bradley Blvd Bethesda MD 20815</v>
      </c>
      <c r="E204" s="10" t="str">
        <f ca="1">IFERROR(__xludf.DUMMYFUNCTION("""COMPUTED_VALUE"""),"Yes")</f>
        <v>Yes</v>
      </c>
      <c r="F204" s="10" t="str">
        <f ca="1">IFERROR(__xludf.DUMMYFUNCTION("""COMPUTED_VALUE"""),"Pharmacy")</f>
        <v>Pharmacy</v>
      </c>
      <c r="G204" s="10"/>
      <c r="H204" s="1"/>
      <c r="I204" s="2" t="str">
        <f ca="1">IFERROR(__xludf.DUMMYFUNCTION("""COMPUTED_VALUE"""),"https://www.safeway.com/covid-19")</f>
        <v>https://www.safeway.com/covid-19</v>
      </c>
      <c r="J204" s="1"/>
      <c r="K204" s="1"/>
      <c r="L204" s="1"/>
      <c r="M204" s="1" t="str">
        <f ca="1">IFERROR(__xludf.DUMMYFUNCTION("""COMPUTED_VALUE"""),"Schedule an appointment using the button below")</f>
        <v>Schedule an appointment using the button below</v>
      </c>
      <c r="N204" s="1"/>
      <c r="O204" s="1" t="str">
        <f ca="1">IFERROR(__xludf.DUMMYFUNCTION("""COMPUTED_VALUE"""),"Yes")</f>
        <v>Yes</v>
      </c>
      <c r="P204" s="1" t="str">
        <f ca="1">IFERROR(__xludf.DUMMYFUNCTION("""COMPUTED_VALUE"""),"20815")</f>
        <v>20815</v>
      </c>
      <c r="Q204" s="1" t="str">
        <f ca="1">IFERROR(__xludf.DUMMYFUNCTION("""COMPUTED_VALUE"""),"Yes")</f>
        <v>Yes</v>
      </c>
      <c r="R204" s="1" t="str">
        <f ca="1">IFERROR(__xludf.DUMMYFUNCTION("""COMPUTED_VALUE"""),"Yes")</f>
        <v>Yes</v>
      </c>
      <c r="S204" s="1" t="str">
        <f ca="1">IFERROR(__xludf.DUMMYFUNCTION("""COMPUTED_VALUE"""),"No")</f>
        <v>No</v>
      </c>
      <c r="T204" s="1" t="str">
        <f ca="1">IFERROR(__xludf.DUMMYFUNCTION("""COMPUTED_VALUE"""),"Yes")</f>
        <v>Yes</v>
      </c>
    </row>
    <row r="205" spans="1:20" ht="13" x14ac:dyDescent="0.6">
      <c r="A205" s="10" t="str">
        <f ca="1">IFERROR(__xludf.DUMMYFUNCTION("""COMPUTED_VALUE"""),"Montgomery")</f>
        <v>Montgomery</v>
      </c>
      <c r="B205" s="10" t="str">
        <f ca="1">IFERROR(__xludf.DUMMYFUNCTION("""COMPUTED_VALUE"""),"Rockville")</f>
        <v>Rockville</v>
      </c>
      <c r="C205" s="10" t="str">
        <f ca="1">IFERROR(__xludf.DUMMYFUNCTION("""COMPUTED_VALUE"""),"Safeway Rockville")</f>
        <v>Safeway Rockville</v>
      </c>
      <c r="D205" s="10" t="str">
        <f ca="1">IFERROR(__xludf.DUMMYFUNCTION("""COMPUTED_VALUE"""),"1800 Rockville Pike Suite S Rockville MD 20852")</f>
        <v>1800 Rockville Pike Suite S Rockville MD 20852</v>
      </c>
      <c r="E205" s="10" t="str">
        <f ca="1">IFERROR(__xludf.DUMMYFUNCTION("""COMPUTED_VALUE"""),"Yes")</f>
        <v>Yes</v>
      </c>
      <c r="F205" s="10" t="str">
        <f ca="1">IFERROR(__xludf.DUMMYFUNCTION("""COMPUTED_VALUE"""),"Pharmacy")</f>
        <v>Pharmacy</v>
      </c>
      <c r="G205" s="10"/>
      <c r="H205" s="1"/>
      <c r="I205" s="2" t="str">
        <f ca="1">IFERROR(__xludf.DUMMYFUNCTION("""COMPUTED_VALUE"""),"https://www.safeway.com/covid-19")</f>
        <v>https://www.safeway.com/covid-19</v>
      </c>
      <c r="J205" s="1"/>
      <c r="K205" s="1"/>
      <c r="L205" s="1"/>
      <c r="M205" s="1" t="str">
        <f ca="1">IFERROR(__xludf.DUMMYFUNCTION("""COMPUTED_VALUE"""),"Schedule an appointment using the button below")</f>
        <v>Schedule an appointment using the button below</v>
      </c>
      <c r="N205" s="1"/>
      <c r="O205" s="1" t="str">
        <f ca="1">IFERROR(__xludf.DUMMYFUNCTION("""COMPUTED_VALUE"""),"Yes")</f>
        <v>Yes</v>
      </c>
      <c r="P205" s="1" t="str">
        <f ca="1">IFERROR(__xludf.DUMMYFUNCTION("""COMPUTED_VALUE"""),"20852")</f>
        <v>20852</v>
      </c>
      <c r="Q205" s="1" t="str">
        <f ca="1">IFERROR(__xludf.DUMMYFUNCTION("""COMPUTED_VALUE"""),"Yes")</f>
        <v>Yes</v>
      </c>
      <c r="R205" s="1" t="str">
        <f ca="1">IFERROR(__xludf.DUMMYFUNCTION("""COMPUTED_VALUE"""),"Yes")</f>
        <v>Yes</v>
      </c>
      <c r="S205" s="1" t="str">
        <f ca="1">IFERROR(__xludf.DUMMYFUNCTION("""COMPUTED_VALUE"""),"Yes")</f>
        <v>Yes</v>
      </c>
      <c r="T205" s="1" t="str">
        <f ca="1">IFERROR(__xludf.DUMMYFUNCTION("""COMPUTED_VALUE"""),"Yes")</f>
        <v>Yes</v>
      </c>
    </row>
    <row r="206" spans="1:20" ht="13" x14ac:dyDescent="0.6">
      <c r="A206" s="10" t="str">
        <f ca="1">IFERROR(__xludf.DUMMYFUNCTION("""COMPUTED_VALUE"""),"Montgomery")</f>
        <v>Montgomery</v>
      </c>
      <c r="B206" s="10" t="str">
        <f ca="1">IFERROR(__xludf.DUMMYFUNCTION("""COMPUTED_VALUE"""),"Gaithersburg")</f>
        <v>Gaithersburg</v>
      </c>
      <c r="C206" s="10" t="str">
        <f ca="1">IFERROR(__xludf.DUMMYFUNCTION("""COMPUTED_VALUE"""),"Giant Food Gaithersburg")</f>
        <v>Giant Food Gaithersburg</v>
      </c>
      <c r="D206" s="10" t="str">
        <f ca="1">IFERROR(__xludf.DUMMYFUNCTION("""COMPUTED_VALUE"""),"18250 Flower Hill Way Gaithersburg MD 20879")</f>
        <v>18250 Flower Hill Way Gaithersburg MD 20879</v>
      </c>
      <c r="E206" s="10" t="str">
        <f ca="1">IFERROR(__xludf.DUMMYFUNCTION("""COMPUTED_VALUE"""),"Yes")</f>
        <v>Yes</v>
      </c>
      <c r="F206" s="10" t="str">
        <f ca="1">IFERROR(__xludf.DUMMYFUNCTION("""COMPUTED_VALUE"""),"Pharmacy")</f>
        <v>Pharmacy</v>
      </c>
      <c r="G206" s="10"/>
      <c r="H206" s="1"/>
      <c r="I206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06" s="1"/>
      <c r="K206" s="1"/>
      <c r="L206" s="1"/>
      <c r="M206" s="1" t="str">
        <f ca="1">IFERROR(__xludf.DUMMYFUNCTION("""COMPUTED_VALUE"""),"Schedule an appointment using the button below")</f>
        <v>Schedule an appointment using the button below</v>
      </c>
      <c r="N206" s="1"/>
      <c r="O206" s="1" t="str">
        <f ca="1">IFERROR(__xludf.DUMMYFUNCTION("""COMPUTED_VALUE"""),"Yes")</f>
        <v>Yes</v>
      </c>
      <c r="P206" s="1" t="str">
        <f ca="1">IFERROR(__xludf.DUMMYFUNCTION("""COMPUTED_VALUE"""),"20879")</f>
        <v>20879</v>
      </c>
      <c r="Q206" s="1" t="str">
        <f ca="1">IFERROR(__xludf.DUMMYFUNCTION("""COMPUTED_VALUE"""),"Yes")</f>
        <v>Yes</v>
      </c>
      <c r="R206" s="1" t="str">
        <f ca="1">IFERROR(__xludf.DUMMYFUNCTION("""COMPUTED_VALUE"""),"Yes")</f>
        <v>Yes</v>
      </c>
      <c r="S206" s="1" t="str">
        <f ca="1">IFERROR(__xludf.DUMMYFUNCTION("""COMPUTED_VALUE"""),"No")</f>
        <v>No</v>
      </c>
      <c r="T206" s="1" t="str">
        <f ca="1">IFERROR(__xludf.DUMMYFUNCTION("""COMPUTED_VALUE"""),"Yes")</f>
        <v>Yes</v>
      </c>
    </row>
    <row r="207" spans="1:20" ht="13" x14ac:dyDescent="0.6">
      <c r="A207" s="10" t="str">
        <f ca="1">IFERROR(__xludf.DUMMYFUNCTION("""COMPUTED_VALUE"""),"Montgomery")</f>
        <v>Montgomery</v>
      </c>
      <c r="B207" s="10" t="str">
        <f ca="1">IFERROR(__xludf.DUMMYFUNCTION("""COMPUTED_VALUE"""),"Germantown")</f>
        <v>Germantown</v>
      </c>
      <c r="C207" s="10" t="str">
        <f ca="1">IFERROR(__xludf.DUMMYFUNCTION("""COMPUTED_VALUE"""),"Giant Food Germantown")</f>
        <v>Giant Food Germantown</v>
      </c>
      <c r="D207" s="10" t="str">
        <f ca="1">IFERROR(__xludf.DUMMYFUNCTION("""COMPUTED_VALUE"""),"18331 Leaman Farm Rd Germantown MD 20874")</f>
        <v>18331 Leaman Farm Rd Germantown MD 20874</v>
      </c>
      <c r="E207" s="10" t="str">
        <f ca="1">IFERROR(__xludf.DUMMYFUNCTION("""COMPUTED_VALUE"""),"Yes")</f>
        <v>Yes</v>
      </c>
      <c r="F207" s="10" t="str">
        <f ca="1">IFERROR(__xludf.DUMMYFUNCTION("""COMPUTED_VALUE"""),"Pharmacy")</f>
        <v>Pharmacy</v>
      </c>
      <c r="G207" s="10"/>
      <c r="H207" s="1"/>
      <c r="I207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07" s="1"/>
      <c r="K207" s="1"/>
      <c r="L207" s="1"/>
      <c r="M207" s="1" t="str">
        <f ca="1">IFERROR(__xludf.DUMMYFUNCTION("""COMPUTED_VALUE"""),"Schedule an appointment using the button below")</f>
        <v>Schedule an appointment using the button below</v>
      </c>
      <c r="N207" s="1"/>
      <c r="O207" s="1" t="str">
        <f ca="1">IFERROR(__xludf.DUMMYFUNCTION("""COMPUTED_VALUE"""),"Yes")</f>
        <v>Yes</v>
      </c>
      <c r="P207" s="1" t="str">
        <f ca="1">IFERROR(__xludf.DUMMYFUNCTION("""COMPUTED_VALUE"""),"20874")</f>
        <v>20874</v>
      </c>
      <c r="Q207" s="1" t="str">
        <f ca="1">IFERROR(__xludf.DUMMYFUNCTION("""COMPUTED_VALUE"""),"Yes")</f>
        <v>Yes</v>
      </c>
      <c r="R207" s="1" t="str">
        <f ca="1">IFERROR(__xludf.DUMMYFUNCTION("""COMPUTED_VALUE"""),"Yes")</f>
        <v>Yes</v>
      </c>
      <c r="S207" s="1" t="str">
        <f ca="1">IFERROR(__xludf.DUMMYFUNCTION("""COMPUTED_VALUE"""),"No")</f>
        <v>No</v>
      </c>
      <c r="T207" s="1" t="str">
        <f ca="1">IFERROR(__xludf.DUMMYFUNCTION("""COMPUTED_VALUE"""),"Yes")</f>
        <v>Yes</v>
      </c>
    </row>
    <row r="208" spans="1:20" ht="13" x14ac:dyDescent="0.6">
      <c r="A208" s="10" t="str">
        <f ca="1">IFERROR(__xludf.DUMMYFUNCTION("""COMPUTED_VALUE"""),"Montgomery")</f>
        <v>Montgomery</v>
      </c>
      <c r="B208" s="10" t="str">
        <f ca="1">IFERROR(__xludf.DUMMYFUNCTION("""COMPUTED_VALUE"""),"Cloverly")</f>
        <v>Cloverly</v>
      </c>
      <c r="C208" s="10" t="str">
        <f ca="1">IFERROR(__xludf.DUMMYFUNCTION("""COMPUTED_VALUE"""),"Safeway Cloverly")</f>
        <v>Safeway Cloverly</v>
      </c>
      <c r="D208" s="10" t="str">
        <f ca="1">IFERROR(__xludf.DUMMYFUNCTION("""COMPUTED_VALUE"""),"15411 New Hampshire Av Cloverly MD 20905")</f>
        <v>15411 New Hampshire Av Cloverly MD 20905</v>
      </c>
      <c r="E208" s="10" t="str">
        <f ca="1">IFERROR(__xludf.DUMMYFUNCTION("""COMPUTED_VALUE"""),"Yes")</f>
        <v>Yes</v>
      </c>
      <c r="F208" s="10" t="str">
        <f ca="1">IFERROR(__xludf.DUMMYFUNCTION("""COMPUTED_VALUE"""),"Pharmacy")</f>
        <v>Pharmacy</v>
      </c>
      <c r="G208" s="10"/>
      <c r="H208" s="1"/>
      <c r="I208" s="2" t="str">
        <f ca="1">IFERROR(__xludf.DUMMYFUNCTION("""COMPUTED_VALUE"""),"https://www.safeway.com/covid-19")</f>
        <v>https://www.safeway.com/covid-19</v>
      </c>
      <c r="J208" s="1"/>
      <c r="K208" s="1"/>
      <c r="L208" s="1"/>
      <c r="M208" s="1" t="str">
        <f ca="1">IFERROR(__xludf.DUMMYFUNCTION("""COMPUTED_VALUE"""),"Schedule an appointment using the button below")</f>
        <v>Schedule an appointment using the button below</v>
      </c>
      <c r="N208" s="1"/>
      <c r="O208" s="1" t="str">
        <f ca="1">IFERROR(__xludf.DUMMYFUNCTION("""COMPUTED_VALUE"""),"Yes")</f>
        <v>Yes</v>
      </c>
      <c r="P208" s="1" t="str">
        <f ca="1">IFERROR(__xludf.DUMMYFUNCTION("""COMPUTED_VALUE"""),"20905")</f>
        <v>20905</v>
      </c>
      <c r="Q208" s="1" t="str">
        <f ca="1">IFERROR(__xludf.DUMMYFUNCTION("""COMPUTED_VALUE"""),"Yes")</f>
        <v>Yes</v>
      </c>
      <c r="R208" s="1" t="str">
        <f ca="1">IFERROR(__xludf.DUMMYFUNCTION("""COMPUTED_VALUE"""),"Yes")</f>
        <v>Yes</v>
      </c>
      <c r="S208" s="1" t="str">
        <f ca="1">IFERROR(__xludf.DUMMYFUNCTION("""COMPUTED_VALUE"""),"No")</f>
        <v>No</v>
      </c>
      <c r="T208" s="1" t="str">
        <f ca="1">IFERROR(__xludf.DUMMYFUNCTION("""COMPUTED_VALUE"""),"Yes")</f>
        <v>Yes</v>
      </c>
    </row>
    <row r="209" spans="1:20" ht="13" x14ac:dyDescent="0.6">
      <c r="A209" s="10" t="str">
        <f ca="1">IFERROR(__xludf.DUMMYFUNCTION("""COMPUTED_VALUE"""),"Montgomery")</f>
        <v>Montgomery</v>
      </c>
      <c r="B209" s="10" t="str">
        <f ca="1">IFERROR(__xludf.DUMMYFUNCTION("""COMPUTED_VALUE"""),"Germantown")</f>
        <v>Germantown</v>
      </c>
      <c r="C209" s="10" t="str">
        <f ca="1">IFERROR(__xludf.DUMMYFUNCTION("""COMPUTED_VALUE"""),"Wegman's Pharmacy #056 Germantown")</f>
        <v>Wegman's Pharmacy #056 Germantown</v>
      </c>
      <c r="D209" s="10" t="str">
        <f ca="1">IFERROR(__xludf.DUMMYFUNCTION("""COMPUTED_VALUE"""),"20600 Seneca Meadows Parkway Germantown, MD 20876")</f>
        <v>20600 Seneca Meadows Parkway Germantown, MD 20876</v>
      </c>
      <c r="E209" s="10" t="str">
        <f ca="1">IFERROR(__xludf.DUMMYFUNCTION("""COMPUTED_VALUE"""),"Yes")</f>
        <v>Yes</v>
      </c>
      <c r="F209" s="10" t="str">
        <f ca="1">IFERROR(__xludf.DUMMYFUNCTION("""COMPUTED_VALUE"""),"Pharmacy")</f>
        <v>Pharmacy</v>
      </c>
      <c r="G209" s="10"/>
      <c r="H209" s="1"/>
      <c r="I209" s="2" t="str">
        <f ca="1">IFERROR(__xludf.DUMMYFUNCTION("""COMPUTED_VALUE"""),"https://www.wegmans.com/covid-vaccine-registration/")</f>
        <v>https://www.wegmans.com/covid-vaccine-registration/</v>
      </c>
      <c r="J209" s="1"/>
      <c r="K209" s="1"/>
      <c r="L209" s="1"/>
      <c r="M209" s="1" t="str">
        <f ca="1">IFERROR(__xludf.DUMMYFUNCTION("""COMPUTED_VALUE"""),"Schedule an appointment using the button below")</f>
        <v>Schedule an appointment using the button below</v>
      </c>
      <c r="N209" s="1"/>
      <c r="O209" s="1"/>
      <c r="P209" s="1" t="str">
        <f ca="1">IFERROR(__xludf.DUMMYFUNCTION("""COMPUTED_VALUE"""),"20876")</f>
        <v>20876</v>
      </c>
      <c r="Q209" s="1" t="str">
        <f ca="1">IFERROR(__xludf.DUMMYFUNCTION("""COMPUTED_VALUE"""),"Yes")</f>
        <v>Yes</v>
      </c>
      <c r="R209" s="1" t="str">
        <f ca="1">IFERROR(__xludf.DUMMYFUNCTION("""COMPUTED_VALUE"""),"Yes")</f>
        <v>Yes</v>
      </c>
      <c r="S209" s="1" t="str">
        <f ca="1">IFERROR(__xludf.DUMMYFUNCTION("""COMPUTED_VALUE"""),"No")</f>
        <v>No</v>
      </c>
      <c r="T209" s="1" t="str">
        <f ca="1">IFERROR(__xludf.DUMMYFUNCTION("""COMPUTED_VALUE"""),"Yes")</f>
        <v>Yes</v>
      </c>
    </row>
    <row r="210" spans="1:20" ht="13" x14ac:dyDescent="0.6">
      <c r="A210" s="10" t="str">
        <f ca="1">IFERROR(__xludf.DUMMYFUNCTION("""COMPUTED_VALUE"""),"Montgomery")</f>
        <v>Montgomery</v>
      </c>
      <c r="B210" s="10" t="str">
        <f ca="1">IFERROR(__xludf.DUMMYFUNCTION("""COMPUTED_VALUE"""),"Rockville")</f>
        <v>Rockville</v>
      </c>
      <c r="C210" s="10" t="str">
        <f ca="1">IFERROR(__xludf.DUMMYFUNCTION("""COMPUTED_VALUE"""),"Giant Food Rockville")</f>
        <v>Giant Food Rockville</v>
      </c>
      <c r="D210" s="10" t="str">
        <f ca="1">IFERROR(__xludf.DUMMYFUNCTION("""COMPUTED_VALUE"""),"12051 Rockville Pike Rockville, MD 20852")</f>
        <v>12051 Rockville Pike Rockville, MD 20852</v>
      </c>
      <c r="E210" s="10" t="str">
        <f ca="1">IFERROR(__xludf.DUMMYFUNCTION("""COMPUTED_VALUE"""),"Yes")</f>
        <v>Yes</v>
      </c>
      <c r="F210" s="10" t="str">
        <f ca="1">IFERROR(__xludf.DUMMYFUNCTION("""COMPUTED_VALUE"""),"Pharmacy")</f>
        <v>Pharmacy</v>
      </c>
      <c r="G210" s="10"/>
      <c r="H210" s="1" t="str">
        <f ca="1">IFERROR(__xludf.DUMMYFUNCTION("""COMPUTED_VALUE"""),"Sun 10am - 5pm, Mon - Fri 9am - 9pm, Sat 9am - 6pm")</f>
        <v>Sun 10am - 5pm, Mon - Fri 9am - 9pm, Sat 9am - 6pm</v>
      </c>
      <c r="I210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10" s="1"/>
      <c r="K210" s="1" t="str">
        <f ca="1">IFERROR(__xludf.DUMMYFUNCTION("""COMPUTED_VALUE"""),"301-881-2225")</f>
        <v>301-881-2225</v>
      </c>
      <c r="L210" s="1"/>
      <c r="M210" s="1" t="str">
        <f ca="1">IFERROR(__xludf.DUMMYFUNCTION("""COMPUTED_VALUE"""),"Schedule an appointment using the button below")</f>
        <v>Schedule an appointment using the button below</v>
      </c>
      <c r="N210" s="1"/>
      <c r="O210" s="1" t="str">
        <f ca="1">IFERROR(__xludf.DUMMYFUNCTION("""COMPUTED_VALUE"""),"Yes")</f>
        <v>Yes</v>
      </c>
      <c r="P210" s="1" t="str">
        <f ca="1">IFERROR(__xludf.DUMMYFUNCTION("""COMPUTED_VALUE"""),"20852")</f>
        <v>20852</v>
      </c>
      <c r="Q210" s="1" t="str">
        <f ca="1">IFERROR(__xludf.DUMMYFUNCTION("""COMPUTED_VALUE"""),"Yes")</f>
        <v>Yes</v>
      </c>
      <c r="R210" s="1" t="str">
        <f ca="1">IFERROR(__xludf.DUMMYFUNCTION("""COMPUTED_VALUE"""),"Yes")</f>
        <v>Yes</v>
      </c>
      <c r="S210" s="1" t="str">
        <f ca="1">IFERROR(__xludf.DUMMYFUNCTION("""COMPUTED_VALUE"""),"No")</f>
        <v>No</v>
      </c>
      <c r="T210" s="1" t="str">
        <f ca="1">IFERROR(__xludf.DUMMYFUNCTION("""COMPUTED_VALUE"""),"Yes")</f>
        <v>Yes</v>
      </c>
    </row>
    <row r="211" spans="1:20" ht="13" x14ac:dyDescent="0.6">
      <c r="A211" s="10" t="str">
        <f ca="1">IFERROR(__xludf.DUMMYFUNCTION("""COMPUTED_VALUE"""),"Montgomery")</f>
        <v>Montgomery</v>
      </c>
      <c r="B211" s="10" t="str">
        <f ca="1">IFERROR(__xludf.DUMMYFUNCTION("""COMPUTED_VALUE"""),"Silver Spring")</f>
        <v>Silver Spring</v>
      </c>
      <c r="C211" s="10" t="str">
        <f ca="1">IFERROR(__xludf.DUMMYFUNCTION("""COMPUTED_VALUE"""),"Giant Food Silver Spring")</f>
        <v>Giant Food Silver Spring</v>
      </c>
      <c r="D211" s="10" t="str">
        <f ca="1">IFERROR(__xludf.DUMMYFUNCTION("""COMPUTED_VALUE"""),"3860 International Drive Silver Spring, MD 20906")</f>
        <v>3860 International Drive Silver Spring, MD 20906</v>
      </c>
      <c r="E211" s="10" t="str">
        <f ca="1">IFERROR(__xludf.DUMMYFUNCTION("""COMPUTED_VALUE"""),"Yes")</f>
        <v>Yes</v>
      </c>
      <c r="F211" s="10" t="str">
        <f ca="1">IFERROR(__xludf.DUMMYFUNCTION("""COMPUTED_VALUE"""),"Pharmacy")</f>
        <v>Pharmacy</v>
      </c>
      <c r="G211" s="10"/>
      <c r="H211" s="1" t="str">
        <f ca="1">IFERROR(__xludf.DUMMYFUNCTION("""COMPUTED_VALUE"""),"Sun 10am - 5pm, Mon - Fri 8am - 9pm, Sat 9am - 6pm")</f>
        <v>Sun 10am - 5pm, Mon - Fri 8am - 9pm, Sat 9am - 6pm</v>
      </c>
      <c r="I211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11" s="1"/>
      <c r="K211" s="1" t="str">
        <f ca="1">IFERROR(__xludf.DUMMYFUNCTION("""COMPUTED_VALUE"""),"301-598-3208")</f>
        <v>301-598-3208</v>
      </c>
      <c r="L211" s="1"/>
      <c r="M211" s="1" t="str">
        <f ca="1">IFERROR(__xludf.DUMMYFUNCTION("""COMPUTED_VALUE"""),"Schedule an appointment using the button below")</f>
        <v>Schedule an appointment using the button below</v>
      </c>
      <c r="N211" s="1"/>
      <c r="O211" s="1" t="str">
        <f ca="1">IFERROR(__xludf.DUMMYFUNCTION("""COMPUTED_VALUE"""),"Yes")</f>
        <v>Yes</v>
      </c>
      <c r="P211" s="1" t="str">
        <f ca="1">IFERROR(__xludf.DUMMYFUNCTION("""COMPUTED_VALUE"""),"20906")</f>
        <v>20906</v>
      </c>
      <c r="Q211" s="1" t="str">
        <f ca="1">IFERROR(__xludf.DUMMYFUNCTION("""COMPUTED_VALUE"""),"Yes")</f>
        <v>Yes</v>
      </c>
      <c r="R211" s="1" t="str">
        <f ca="1">IFERROR(__xludf.DUMMYFUNCTION("""COMPUTED_VALUE"""),"Yes")</f>
        <v>Yes</v>
      </c>
      <c r="S211" s="1" t="str">
        <f ca="1">IFERROR(__xludf.DUMMYFUNCTION("""COMPUTED_VALUE"""),"No")</f>
        <v>No</v>
      </c>
      <c r="T211" s="1" t="str">
        <f ca="1">IFERROR(__xludf.DUMMYFUNCTION("""COMPUTED_VALUE"""),"Yes")</f>
        <v>Yes</v>
      </c>
    </row>
    <row r="212" spans="1:20" ht="13" x14ac:dyDescent="0.6">
      <c r="A212" s="10" t="str">
        <f ca="1">IFERROR(__xludf.DUMMYFUNCTION("""COMPUTED_VALUE"""),"Montgomery")</f>
        <v>Montgomery</v>
      </c>
      <c r="B212" s="10" t="str">
        <f ca="1">IFERROR(__xludf.DUMMYFUNCTION("""COMPUTED_VALUE"""),"Rockville")</f>
        <v>Rockville</v>
      </c>
      <c r="C212" s="10" t="str">
        <f ca="1">IFERROR(__xludf.DUMMYFUNCTION("""COMPUTED_VALUE"""),"Giant Food Rockville")</f>
        <v>Giant Food Rockville</v>
      </c>
      <c r="D212" s="10" t="str">
        <f ca="1">IFERROR(__xludf.DUMMYFUNCTION("""COMPUTED_VALUE"""),"9719 Traville Gateway Drive Rockville, MD 20850")</f>
        <v>9719 Traville Gateway Drive Rockville, MD 20850</v>
      </c>
      <c r="E212" s="10" t="str">
        <f ca="1">IFERROR(__xludf.DUMMYFUNCTION("""COMPUTED_VALUE"""),"Yes")</f>
        <v>Yes</v>
      </c>
      <c r="F212" s="10" t="str">
        <f ca="1">IFERROR(__xludf.DUMMYFUNCTION("""COMPUTED_VALUE"""),"Pharmacy")</f>
        <v>Pharmacy</v>
      </c>
      <c r="G212" s="10"/>
      <c r="H212" s="1" t="str">
        <f ca="1">IFERROR(__xludf.DUMMYFUNCTION("""COMPUTED_VALUE"""),"Sun 10am - 5pm, Mon - Fri 9am - 9pm, Sat 9am - 6pm")</f>
        <v>Sun 10am - 5pm, Mon - Fri 9am - 9pm, Sat 9am - 6pm</v>
      </c>
      <c r="I212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12" s="1"/>
      <c r="K212" s="1" t="str">
        <f ca="1">IFERROR(__xludf.DUMMYFUNCTION("""COMPUTED_VALUE"""),"301-315-1461")</f>
        <v>301-315-1461</v>
      </c>
      <c r="L212" s="1"/>
      <c r="M212" s="1" t="str">
        <f ca="1">IFERROR(__xludf.DUMMYFUNCTION("""COMPUTED_VALUE"""),"Schedule an appointment using the button below")</f>
        <v>Schedule an appointment using the button below</v>
      </c>
      <c r="N212" s="1"/>
      <c r="O212" s="1" t="str">
        <f ca="1">IFERROR(__xludf.DUMMYFUNCTION("""COMPUTED_VALUE"""),"Yes")</f>
        <v>Yes</v>
      </c>
      <c r="P212" s="1" t="str">
        <f ca="1">IFERROR(__xludf.DUMMYFUNCTION("""COMPUTED_VALUE"""),"20850")</f>
        <v>20850</v>
      </c>
      <c r="Q212" s="1" t="str">
        <f ca="1">IFERROR(__xludf.DUMMYFUNCTION("""COMPUTED_VALUE"""),"Yes")</f>
        <v>Yes</v>
      </c>
      <c r="R212" s="1" t="str">
        <f ca="1">IFERROR(__xludf.DUMMYFUNCTION("""COMPUTED_VALUE"""),"Yes")</f>
        <v>Yes</v>
      </c>
      <c r="S212" s="1" t="str">
        <f ca="1">IFERROR(__xludf.DUMMYFUNCTION("""COMPUTED_VALUE"""),"Yes")</f>
        <v>Yes</v>
      </c>
      <c r="T212" s="1" t="str">
        <f ca="1">IFERROR(__xludf.DUMMYFUNCTION("""COMPUTED_VALUE"""),"Yes")</f>
        <v>Yes</v>
      </c>
    </row>
    <row r="213" spans="1:20" ht="13" x14ac:dyDescent="0.6">
      <c r="A213" s="10" t="str">
        <f ca="1">IFERROR(__xludf.DUMMYFUNCTION("""COMPUTED_VALUE"""),"Montgomery")</f>
        <v>Montgomery</v>
      </c>
      <c r="B213" s="10" t="str">
        <f ca="1">IFERROR(__xludf.DUMMYFUNCTION("""COMPUTED_VALUE"""),"Silver Spring")</f>
        <v>Silver Spring</v>
      </c>
      <c r="C213" s="10" t="str">
        <f ca="1">IFERROR(__xludf.DUMMYFUNCTION("""COMPUTED_VALUE"""),"Giant Food Silver Spring")</f>
        <v>Giant Food Silver Spring</v>
      </c>
      <c r="D213" s="10" t="str">
        <f ca="1">IFERROR(__xludf.DUMMYFUNCTION("""COMPUTED_VALUE"""),"11221 New Hampshire Ave Silver Spring, MD 20904")</f>
        <v>11221 New Hampshire Ave Silver Spring, MD 20904</v>
      </c>
      <c r="E213" s="10" t="str">
        <f ca="1">IFERROR(__xludf.DUMMYFUNCTION("""COMPUTED_VALUE"""),"Yes")</f>
        <v>Yes</v>
      </c>
      <c r="F213" s="10" t="str">
        <f ca="1">IFERROR(__xludf.DUMMYFUNCTION("""COMPUTED_VALUE"""),"Pharmacy")</f>
        <v>Pharmacy</v>
      </c>
      <c r="G213" s="10"/>
      <c r="H213" s="1" t="str">
        <f ca="1">IFERROR(__xludf.DUMMYFUNCTION("""COMPUTED_VALUE"""),"Sun 10am - 5pm, Mon - Fri 9am - 9pm, Sat 9am - 6pm")</f>
        <v>Sun 10am - 5pm, Mon - Fri 9am - 9pm, Sat 9am - 6pm</v>
      </c>
      <c r="I213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13" s="1"/>
      <c r="K213" s="1" t="str">
        <f ca="1">IFERROR(__xludf.DUMMYFUNCTION("""COMPUTED_VALUE"""),"301-681-8310")</f>
        <v>301-681-8310</v>
      </c>
      <c r="L213" s="1"/>
      <c r="M213" s="1" t="str">
        <f ca="1">IFERROR(__xludf.DUMMYFUNCTION("""COMPUTED_VALUE"""),"Schedule an appointment using the button below")</f>
        <v>Schedule an appointment using the button below</v>
      </c>
      <c r="N213" s="1"/>
      <c r="O213" s="1" t="str">
        <f ca="1">IFERROR(__xludf.DUMMYFUNCTION("""COMPUTED_VALUE"""),"Yes")</f>
        <v>Yes</v>
      </c>
      <c r="P213" s="1" t="str">
        <f ca="1">IFERROR(__xludf.DUMMYFUNCTION("""COMPUTED_VALUE"""),"20904")</f>
        <v>20904</v>
      </c>
      <c r="Q213" s="1" t="str">
        <f ca="1">IFERROR(__xludf.DUMMYFUNCTION("""COMPUTED_VALUE"""),"Yes")</f>
        <v>Yes</v>
      </c>
      <c r="R213" s="1" t="str">
        <f ca="1">IFERROR(__xludf.DUMMYFUNCTION("""COMPUTED_VALUE"""),"Yes")</f>
        <v>Yes</v>
      </c>
      <c r="S213" s="1" t="str">
        <f ca="1">IFERROR(__xludf.DUMMYFUNCTION("""COMPUTED_VALUE"""),"No")</f>
        <v>No</v>
      </c>
      <c r="T213" s="1" t="str">
        <f ca="1">IFERROR(__xludf.DUMMYFUNCTION("""COMPUTED_VALUE"""),"Yes")</f>
        <v>Yes</v>
      </c>
    </row>
    <row r="214" spans="1:20" ht="13" x14ac:dyDescent="0.6">
      <c r="A214" s="10" t="str">
        <f ca="1">IFERROR(__xludf.DUMMYFUNCTION("""COMPUTED_VALUE"""),"Montgomery")</f>
        <v>Montgomery</v>
      </c>
      <c r="B214" s="10" t="str">
        <f ca="1">IFERROR(__xludf.DUMMYFUNCTION("""COMPUTED_VALUE"""),"Olney")</f>
        <v>Olney</v>
      </c>
      <c r="C214" s="10" t="str">
        <f ca="1">IFERROR(__xludf.DUMMYFUNCTION("""COMPUTED_VALUE"""),"Giant Food Olney")</f>
        <v>Giant Food Olney</v>
      </c>
      <c r="D214" s="10" t="str">
        <f ca="1">IFERROR(__xludf.DUMMYFUNCTION("""COMPUTED_VALUE"""),"18140 Village Mart Drive Olney, MD 20832")</f>
        <v>18140 Village Mart Drive Olney, MD 20832</v>
      </c>
      <c r="E214" s="10" t="str">
        <f ca="1">IFERROR(__xludf.DUMMYFUNCTION("""COMPUTED_VALUE"""),"Yes")</f>
        <v>Yes</v>
      </c>
      <c r="F214" s="10" t="str">
        <f ca="1">IFERROR(__xludf.DUMMYFUNCTION("""COMPUTED_VALUE"""),"Pharmacy")</f>
        <v>Pharmacy</v>
      </c>
      <c r="G214" s="10"/>
      <c r="H214" s="1" t="str">
        <f ca="1">IFERROR(__xludf.DUMMYFUNCTION("""COMPUTED_VALUE"""),"Sun 10am - 5pm, Mon - Fri 9am - 9pm, Sat 9am - 6pm")</f>
        <v>Sun 10am - 5pm, Mon - Fri 9am - 9pm, Sat 9am - 6pm</v>
      </c>
      <c r="I214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14" s="1"/>
      <c r="K214" s="1" t="str">
        <f ca="1">IFERROR(__xludf.DUMMYFUNCTION("""COMPUTED_VALUE"""),"301-774-6304")</f>
        <v>301-774-6304</v>
      </c>
      <c r="L214" s="1"/>
      <c r="M214" s="1" t="str">
        <f ca="1">IFERROR(__xludf.DUMMYFUNCTION("""COMPUTED_VALUE"""),"Schedule an appointment using the button below")</f>
        <v>Schedule an appointment using the button below</v>
      </c>
      <c r="N214" s="1"/>
      <c r="O214" s="1" t="str">
        <f ca="1">IFERROR(__xludf.DUMMYFUNCTION("""COMPUTED_VALUE"""),"Yes")</f>
        <v>Yes</v>
      </c>
      <c r="P214" s="1" t="str">
        <f ca="1">IFERROR(__xludf.DUMMYFUNCTION("""COMPUTED_VALUE"""),"20832")</f>
        <v>20832</v>
      </c>
      <c r="Q214" s="1" t="str">
        <f ca="1">IFERROR(__xludf.DUMMYFUNCTION("""COMPUTED_VALUE"""),"Yes")</f>
        <v>Yes</v>
      </c>
      <c r="R214" s="1" t="str">
        <f ca="1">IFERROR(__xludf.DUMMYFUNCTION("""COMPUTED_VALUE"""),"Yes")</f>
        <v>Yes</v>
      </c>
      <c r="S214" s="1" t="str">
        <f ca="1">IFERROR(__xludf.DUMMYFUNCTION("""COMPUTED_VALUE"""),"No")</f>
        <v>No</v>
      </c>
      <c r="T214" s="1" t="str">
        <f ca="1">IFERROR(__xludf.DUMMYFUNCTION("""COMPUTED_VALUE"""),"Yes")</f>
        <v>Yes</v>
      </c>
    </row>
    <row r="215" spans="1:20" ht="13" x14ac:dyDescent="0.6">
      <c r="A215" s="10" t="str">
        <f ca="1">IFERROR(__xludf.DUMMYFUNCTION("""COMPUTED_VALUE"""),"Montgomery")</f>
        <v>Montgomery</v>
      </c>
      <c r="B215" s="10" t="str">
        <f ca="1">IFERROR(__xludf.DUMMYFUNCTION("""COMPUTED_VALUE"""),"Gaithersburg")</f>
        <v>Gaithersburg</v>
      </c>
      <c r="C215" s="10" t="str">
        <f ca="1">IFERROR(__xludf.DUMMYFUNCTION("""COMPUTED_VALUE"""),"Sam's Club Gaithersburg")</f>
        <v>Sam's Club Gaithersburg</v>
      </c>
      <c r="D215" s="10" t="str">
        <f ca="1">IFERROR(__xludf.DUMMYFUNCTION("""COMPUTED_VALUE"""),"610 N Frederick Ave Gaithersburg, MD 20877")</f>
        <v>610 N Frederick Ave Gaithersburg, MD 20877</v>
      </c>
      <c r="E215" s="10" t="str">
        <f ca="1">IFERROR(__xludf.DUMMYFUNCTION("""COMPUTED_VALUE"""),"Yes")</f>
        <v>Yes</v>
      </c>
      <c r="F215" s="10" t="str">
        <f ca="1">IFERROR(__xludf.DUMMYFUNCTION("""COMPUTED_VALUE"""),"Pharmacy")</f>
        <v>Pharmacy</v>
      </c>
      <c r="G215" s="10"/>
      <c r="H215" s="1"/>
      <c r="I215" s="2" t="str">
        <f ca="1">IFERROR(__xludf.DUMMYFUNCTION("""COMPUTED_VALUE"""),"https://www.samsclub.com/pharmacy")</f>
        <v>https://www.samsclub.com/pharmacy</v>
      </c>
      <c r="J215" s="1"/>
      <c r="K215" s="1" t="str">
        <f ca="1">IFERROR(__xludf.DUMMYFUNCTION("""COMPUTED_VALUE"""),"240-631-7716")</f>
        <v>240-631-7716</v>
      </c>
      <c r="L215" s="1"/>
      <c r="M215" s="1" t="str">
        <f ca="1">IFERROR(__xludf.DUMMYFUNCTION("""COMPUTED_VALUE"""),"Schedule an appointment using the button below")</f>
        <v>Schedule an appointment using the button below</v>
      </c>
      <c r="N215" s="1"/>
      <c r="O215" s="1"/>
      <c r="P215" s="1" t="str">
        <f ca="1">IFERROR(__xludf.DUMMYFUNCTION("""COMPUTED_VALUE"""),"20877")</f>
        <v>20877</v>
      </c>
      <c r="Q215" s="1" t="str">
        <f ca="1">IFERROR(__xludf.DUMMYFUNCTION("""COMPUTED_VALUE"""),"No")</f>
        <v>No</v>
      </c>
      <c r="R215" s="1" t="str">
        <f ca="1">IFERROR(__xludf.DUMMYFUNCTION("""COMPUTED_VALUE"""),"Yes")</f>
        <v>Yes</v>
      </c>
      <c r="S215" s="1" t="str">
        <f ca="1">IFERROR(__xludf.DUMMYFUNCTION("""COMPUTED_VALUE"""),"Yes")</f>
        <v>Yes</v>
      </c>
      <c r="T215" s="1" t="str">
        <f ca="1">IFERROR(__xludf.DUMMYFUNCTION("""COMPUTED_VALUE"""),"Yes")</f>
        <v>Yes</v>
      </c>
    </row>
    <row r="216" spans="1:20" ht="13" x14ac:dyDescent="0.6">
      <c r="A216" s="10" t="str">
        <f ca="1">IFERROR(__xludf.DUMMYFUNCTION("""COMPUTED_VALUE"""),"Montgomery")</f>
        <v>Montgomery</v>
      </c>
      <c r="B216" s="10" t="str">
        <f ca="1">IFERROR(__xludf.DUMMYFUNCTION("""COMPUTED_VALUE"""),"Gaithersburg")</f>
        <v>Gaithersburg</v>
      </c>
      <c r="C216" s="10" t="str">
        <f ca="1">IFERROR(__xludf.DUMMYFUNCTION("""COMPUTED_VALUE"""),"Green Pharmacy")</f>
        <v>Green Pharmacy</v>
      </c>
      <c r="D216" s="10" t="str">
        <f ca="1">IFERROR(__xludf.DUMMYFUNCTION("""COMPUTED_VALUE"""),"501 North Frederick Avenue Suite 107B, Gaithersburg, MD 20877")</f>
        <v>501 North Frederick Avenue Suite 107B, Gaithersburg, MD 20877</v>
      </c>
      <c r="E216" s="10" t="str">
        <f ca="1">IFERROR(__xludf.DUMMYFUNCTION("""COMPUTED_VALUE"""),"Yes")</f>
        <v>Yes</v>
      </c>
      <c r="F216" s="10" t="str">
        <f ca="1">IFERROR(__xludf.DUMMYFUNCTION("""COMPUTED_VALUE"""),"Pharmacy")</f>
        <v>Pharmacy</v>
      </c>
      <c r="G216" s="11" t="str">
        <f ca="1">IFERROR(__xludf.DUMMYFUNCTION("""COMPUTED_VALUE"""),"https://greenpharmacyonline.com/")</f>
        <v>https://greenpharmacyonline.com/</v>
      </c>
      <c r="H216" s="1"/>
      <c r="I216" s="1"/>
      <c r="J216" s="1"/>
      <c r="K216" s="1" t="str">
        <f ca="1">IFERROR(__xludf.DUMMYFUNCTION("""COMPUTED_VALUE"""),"301-519-9518")</f>
        <v>301-519-9518</v>
      </c>
      <c r="L216" s="1"/>
      <c r="M216" s="1" t="str">
        <f ca="1">IFERROR(__xludf.DUMMYFUNCTION("""COMPUTED_VALUE"""),"Contact the site to schedule an appointment")</f>
        <v>Contact the site to schedule an appointment</v>
      </c>
      <c r="N216" s="1"/>
      <c r="O216" s="1"/>
      <c r="P216" s="1" t="str">
        <f ca="1">IFERROR(__xludf.DUMMYFUNCTION("""COMPUTED_VALUE"""),"20877")</f>
        <v>20877</v>
      </c>
      <c r="Q216" s="1" t="str">
        <f ca="1">IFERROR(__xludf.DUMMYFUNCTION("""COMPUTED_VALUE"""),"No")</f>
        <v>No</v>
      </c>
      <c r="R216" s="1" t="str">
        <f ca="1">IFERROR(__xludf.DUMMYFUNCTION("""COMPUTED_VALUE"""),"Yes")</f>
        <v>Yes</v>
      </c>
      <c r="S216" s="1" t="str">
        <f ca="1">IFERROR(__xludf.DUMMYFUNCTION("""COMPUTED_VALUE"""),"Yes")</f>
        <v>Yes</v>
      </c>
      <c r="T216" s="1" t="str">
        <f ca="1">IFERROR(__xludf.DUMMYFUNCTION("""COMPUTED_VALUE"""),"Yes")</f>
        <v>Yes</v>
      </c>
    </row>
    <row r="217" spans="1:20" ht="13" x14ac:dyDescent="0.6">
      <c r="A217" s="10" t="str">
        <f ca="1">IFERROR(__xludf.DUMMYFUNCTION("""COMPUTED_VALUE"""),"Montgomery")</f>
        <v>Montgomery</v>
      </c>
      <c r="B217" s="10" t="str">
        <f ca="1">IFERROR(__xludf.DUMMYFUNCTION("""COMPUTED_VALUE"""),"Germantown")</f>
        <v>Germantown</v>
      </c>
      <c r="C217" s="10" t="str">
        <f ca="1">IFERROR(__xludf.DUMMYFUNCTION("""COMPUTED_VALUE"""),"CVS Germantown")</f>
        <v>CVS Germantown</v>
      </c>
      <c r="D217" s="10" t="str">
        <f ca="1">IFERROR(__xludf.DUMMYFUNCTION("""COMPUTED_VALUE"""),"12825 Wisteria Dr, Germantown, MD 20874")</f>
        <v>12825 Wisteria Dr, Germantown, MD 20874</v>
      </c>
      <c r="E217" s="10" t="str">
        <f ca="1">IFERROR(__xludf.DUMMYFUNCTION("""COMPUTED_VALUE"""),"Yes")</f>
        <v>Yes</v>
      </c>
      <c r="F217" s="10" t="str">
        <f ca="1">IFERROR(__xludf.DUMMYFUNCTION("""COMPUTED_VALUE"""),"Pharmacy")</f>
        <v>Pharmacy</v>
      </c>
      <c r="G217" s="10"/>
      <c r="H217" s="1"/>
      <c r="I217" s="2" t="str">
        <f ca="1">IFERROR(__xludf.DUMMYFUNCTION("""COMPUTED_VALUE"""),"https://www.cvs.com/immunizations/covid-19-vaccine")</f>
        <v>https://www.cvs.com/immunizations/covid-19-vaccine</v>
      </c>
      <c r="J217" s="1" t="str">
        <f ca="1">IFERROR(__xludf.DUMMYFUNCTION("""COMPUTED_VALUE"""),"Yes")</f>
        <v>Yes</v>
      </c>
      <c r="K217" s="1" t="str">
        <f ca="1">IFERROR(__xludf.DUMMYFUNCTION("""COMPUTED_VALUE"""),"800-746-7287")</f>
        <v>800-746-7287</v>
      </c>
      <c r="L217" s="1"/>
      <c r="M217" s="1" t="str">
        <f ca="1">IFERROR(__xludf.DUMMYFUNCTION("""COMPUTED_VALUE"""),"Schedule an appointment using the button below")</f>
        <v>Schedule an appointment using the button below</v>
      </c>
      <c r="N217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17" s="1" t="str">
        <f ca="1">IFERROR(__xludf.DUMMYFUNCTION("""COMPUTED_VALUE"""),"Yes")</f>
        <v>Yes</v>
      </c>
      <c r="P217" s="1" t="str">
        <f ca="1">IFERROR(__xludf.DUMMYFUNCTION("""COMPUTED_VALUE"""),"20874")</f>
        <v>20874</v>
      </c>
      <c r="Q217" s="1" t="str">
        <f ca="1">IFERROR(__xludf.DUMMYFUNCTION("""COMPUTED_VALUE"""),"Yes")</f>
        <v>Yes</v>
      </c>
      <c r="R217" s="1" t="str">
        <f ca="1">IFERROR(__xludf.DUMMYFUNCTION("""COMPUTED_VALUE"""),"No")</f>
        <v>No</v>
      </c>
      <c r="S217" s="1" t="str">
        <f ca="1">IFERROR(__xludf.DUMMYFUNCTION("""COMPUTED_VALUE"""),"No")</f>
        <v>No</v>
      </c>
      <c r="T217" s="1" t="str">
        <f ca="1">IFERROR(__xludf.DUMMYFUNCTION("""COMPUTED_VALUE"""),"Yes")</f>
        <v>Yes</v>
      </c>
    </row>
    <row r="218" spans="1:20" ht="13" x14ac:dyDescent="0.6">
      <c r="A218" s="10" t="str">
        <f ca="1">IFERROR(__xludf.DUMMYFUNCTION("""COMPUTED_VALUE"""),"Montgomery")</f>
        <v>Montgomery</v>
      </c>
      <c r="B218" s="10" t="str">
        <f ca="1">IFERROR(__xludf.DUMMYFUNCTION("""COMPUTED_VALUE"""),"Gaithersburg")</f>
        <v>Gaithersburg</v>
      </c>
      <c r="C218" s="10" t="str">
        <f ca="1">IFERROR(__xludf.DUMMYFUNCTION("""COMPUTED_VALUE"""),"CVS Gaithersburg")</f>
        <v>CVS Gaithersburg</v>
      </c>
      <c r="D218" s="10" t="str">
        <f ca="1">IFERROR(__xludf.DUMMYFUNCTION("""COMPUTED_VALUE"""),"546 NORTH Frederick Avenue, Gaithersburg, MD 20877")</f>
        <v>546 NORTH Frederick Avenue, Gaithersburg, MD 20877</v>
      </c>
      <c r="E218" s="10" t="str">
        <f ca="1">IFERROR(__xludf.DUMMYFUNCTION("""COMPUTED_VALUE"""),"Yes")</f>
        <v>Yes</v>
      </c>
      <c r="F218" s="10" t="str">
        <f ca="1">IFERROR(__xludf.DUMMYFUNCTION("""COMPUTED_VALUE"""),"Pharmacy")</f>
        <v>Pharmacy</v>
      </c>
      <c r="G218" s="10"/>
      <c r="H218" s="1"/>
      <c r="I218" s="2" t="str">
        <f ca="1">IFERROR(__xludf.DUMMYFUNCTION("""COMPUTED_VALUE"""),"https://www.cvs.com/immunizations/covid-19-vaccine")</f>
        <v>https://www.cvs.com/immunizations/covid-19-vaccine</v>
      </c>
      <c r="J218" s="1" t="str">
        <f ca="1">IFERROR(__xludf.DUMMYFUNCTION("""COMPUTED_VALUE"""),"Yes")</f>
        <v>Yes</v>
      </c>
      <c r="K218" s="1" t="str">
        <f ca="1">IFERROR(__xludf.DUMMYFUNCTION("""COMPUTED_VALUE"""),"800-746-7287")</f>
        <v>800-746-7287</v>
      </c>
      <c r="L218" s="1"/>
      <c r="M218" s="1" t="str">
        <f ca="1">IFERROR(__xludf.DUMMYFUNCTION("""COMPUTED_VALUE"""),"Schedule an appointment using the button below")</f>
        <v>Schedule an appointment using the button below</v>
      </c>
      <c r="N218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18" s="1" t="str">
        <f ca="1">IFERROR(__xludf.DUMMYFUNCTION("""COMPUTED_VALUE"""),"Yes")</f>
        <v>Yes</v>
      </c>
      <c r="P218" s="1" t="str">
        <f ca="1">IFERROR(__xludf.DUMMYFUNCTION("""COMPUTED_VALUE"""),"20877")</f>
        <v>20877</v>
      </c>
      <c r="Q218" s="1" t="str">
        <f ca="1">IFERROR(__xludf.DUMMYFUNCTION("""COMPUTED_VALUE"""),"Yes")</f>
        <v>Yes</v>
      </c>
      <c r="R218" s="1" t="str">
        <f ca="1">IFERROR(__xludf.DUMMYFUNCTION("""COMPUTED_VALUE"""),"No")</f>
        <v>No</v>
      </c>
      <c r="S218" s="1" t="str">
        <f ca="1">IFERROR(__xludf.DUMMYFUNCTION("""COMPUTED_VALUE"""),"No")</f>
        <v>No</v>
      </c>
      <c r="T218" s="1" t="str">
        <f ca="1">IFERROR(__xludf.DUMMYFUNCTION("""COMPUTED_VALUE"""),"Yes")</f>
        <v>Yes</v>
      </c>
    </row>
    <row r="219" spans="1:20" ht="13" x14ac:dyDescent="0.6">
      <c r="A219" s="10" t="str">
        <f ca="1">IFERROR(__xludf.DUMMYFUNCTION("""COMPUTED_VALUE"""),"Montgomery")</f>
        <v>Montgomery</v>
      </c>
      <c r="B219" s="10" t="str">
        <f ca="1">IFERROR(__xludf.DUMMYFUNCTION("""COMPUTED_VALUE"""),"Rockville")</f>
        <v>Rockville</v>
      </c>
      <c r="C219" s="10" t="str">
        <f ca="1">IFERROR(__xludf.DUMMYFUNCTION("""COMPUTED_VALUE"""),"CVS Rockville")</f>
        <v>CVS Rockville</v>
      </c>
      <c r="D219" s="10" t="str">
        <f ca="1">IFERROR(__xludf.DUMMYFUNCTION("""COMPUTED_VALUE"""),"7955 Tuckerman Lane, Rockville, MD 20854")</f>
        <v>7955 Tuckerman Lane, Rockville, MD 20854</v>
      </c>
      <c r="E219" s="10" t="str">
        <f ca="1">IFERROR(__xludf.DUMMYFUNCTION("""COMPUTED_VALUE"""),"Yes")</f>
        <v>Yes</v>
      </c>
      <c r="F219" s="10" t="str">
        <f ca="1">IFERROR(__xludf.DUMMYFUNCTION("""COMPUTED_VALUE"""),"Pharmacy")</f>
        <v>Pharmacy</v>
      </c>
      <c r="G219" s="10"/>
      <c r="H219" s="1"/>
      <c r="I219" s="2" t="str">
        <f ca="1">IFERROR(__xludf.DUMMYFUNCTION("""COMPUTED_VALUE"""),"https://www.cvs.com/immunizations/covid-19-vaccine")</f>
        <v>https://www.cvs.com/immunizations/covid-19-vaccine</v>
      </c>
      <c r="J219" s="1" t="str">
        <f ca="1">IFERROR(__xludf.DUMMYFUNCTION("""COMPUTED_VALUE"""),"Yes")</f>
        <v>Yes</v>
      </c>
      <c r="K219" s="1" t="str">
        <f ca="1">IFERROR(__xludf.DUMMYFUNCTION("""COMPUTED_VALUE"""),"800-746-7287")</f>
        <v>800-746-7287</v>
      </c>
      <c r="L219" s="1"/>
      <c r="M219" s="1" t="str">
        <f ca="1">IFERROR(__xludf.DUMMYFUNCTION("""COMPUTED_VALUE"""),"Schedule an appointment using the button below")</f>
        <v>Schedule an appointment using the button below</v>
      </c>
      <c r="N219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19" s="1" t="str">
        <f ca="1">IFERROR(__xludf.DUMMYFUNCTION("""COMPUTED_VALUE"""),"Yes")</f>
        <v>Yes</v>
      </c>
      <c r="P219" s="1" t="str">
        <f ca="1">IFERROR(__xludf.DUMMYFUNCTION("""COMPUTED_VALUE"""),"20854")</f>
        <v>20854</v>
      </c>
      <c r="Q219" s="1" t="str">
        <f ca="1">IFERROR(__xludf.DUMMYFUNCTION("""COMPUTED_VALUE"""),"Yes")</f>
        <v>Yes</v>
      </c>
      <c r="R219" s="1" t="str">
        <f ca="1">IFERROR(__xludf.DUMMYFUNCTION("""COMPUTED_VALUE"""),"No")</f>
        <v>No</v>
      </c>
      <c r="S219" s="1" t="str">
        <f ca="1">IFERROR(__xludf.DUMMYFUNCTION("""COMPUTED_VALUE"""),"No")</f>
        <v>No</v>
      </c>
      <c r="T219" s="1" t="str">
        <f ca="1">IFERROR(__xludf.DUMMYFUNCTION("""COMPUTED_VALUE"""),"Yes")</f>
        <v>Yes</v>
      </c>
    </row>
    <row r="220" spans="1:20" ht="13" x14ac:dyDescent="0.6">
      <c r="A220" s="10" t="str">
        <f ca="1">IFERROR(__xludf.DUMMYFUNCTION("""COMPUTED_VALUE"""),"Montgomery")</f>
        <v>Montgomery</v>
      </c>
      <c r="B220" s="10" t="str">
        <f ca="1">IFERROR(__xludf.DUMMYFUNCTION("""COMPUTED_VALUE"""),"Silver Spring")</f>
        <v>Silver Spring</v>
      </c>
      <c r="C220" s="10" t="str">
        <f ca="1">IFERROR(__xludf.DUMMYFUNCTION("""COMPUTED_VALUE"""),"CVS Silver Spring")</f>
        <v>CVS Silver Spring</v>
      </c>
      <c r="D220" s="10" t="str">
        <f ca="1">IFERROR(__xludf.DUMMYFUNCTION("""COMPUTED_VALUE"""),"11160 Veirs Mill Rd, Silver Spring, MD 20902")</f>
        <v>11160 Veirs Mill Rd, Silver Spring, MD 20902</v>
      </c>
      <c r="E220" s="10" t="str">
        <f ca="1">IFERROR(__xludf.DUMMYFUNCTION("""COMPUTED_VALUE"""),"Yes")</f>
        <v>Yes</v>
      </c>
      <c r="F220" s="10" t="str">
        <f ca="1">IFERROR(__xludf.DUMMYFUNCTION("""COMPUTED_VALUE"""),"Pharmacy")</f>
        <v>Pharmacy</v>
      </c>
      <c r="G220" s="10"/>
      <c r="H220" s="1"/>
      <c r="I220" s="2" t="str">
        <f ca="1">IFERROR(__xludf.DUMMYFUNCTION("""COMPUTED_VALUE"""),"https://www.cvs.com/immunizations/covid-19-vaccine")</f>
        <v>https://www.cvs.com/immunizations/covid-19-vaccine</v>
      </c>
      <c r="J220" s="1" t="str">
        <f ca="1">IFERROR(__xludf.DUMMYFUNCTION("""COMPUTED_VALUE"""),"Yes")</f>
        <v>Yes</v>
      </c>
      <c r="K220" s="1" t="str">
        <f ca="1">IFERROR(__xludf.DUMMYFUNCTION("""COMPUTED_VALUE"""),"800-746-7287")</f>
        <v>800-746-7287</v>
      </c>
      <c r="L220" s="1"/>
      <c r="M220" s="1" t="str">
        <f ca="1">IFERROR(__xludf.DUMMYFUNCTION("""COMPUTED_VALUE"""),"Schedule an appointment using the button below")</f>
        <v>Schedule an appointment using the button below</v>
      </c>
      <c r="N220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0" s="1" t="str">
        <f ca="1">IFERROR(__xludf.DUMMYFUNCTION("""COMPUTED_VALUE"""),"Yes")</f>
        <v>Yes</v>
      </c>
      <c r="P220" s="1" t="str">
        <f ca="1">IFERROR(__xludf.DUMMYFUNCTION("""COMPUTED_VALUE"""),"20902")</f>
        <v>20902</v>
      </c>
      <c r="Q220" s="1" t="str">
        <f ca="1">IFERROR(__xludf.DUMMYFUNCTION("""COMPUTED_VALUE"""),"Yes")</f>
        <v>Yes</v>
      </c>
      <c r="R220" s="1" t="str">
        <f ca="1">IFERROR(__xludf.DUMMYFUNCTION("""COMPUTED_VALUE"""),"Yes")</f>
        <v>Yes</v>
      </c>
      <c r="S220" s="1" t="str">
        <f ca="1">IFERROR(__xludf.DUMMYFUNCTION("""COMPUTED_VALUE"""),"Yes")</f>
        <v>Yes</v>
      </c>
      <c r="T220" s="1" t="str">
        <f ca="1">IFERROR(__xludf.DUMMYFUNCTION("""COMPUTED_VALUE"""),"Yes")</f>
        <v>Yes</v>
      </c>
    </row>
    <row r="221" spans="1:20" ht="13" x14ac:dyDescent="0.6">
      <c r="A221" s="10" t="str">
        <f ca="1">IFERROR(__xludf.DUMMYFUNCTION("""COMPUTED_VALUE"""),"Montgomery")</f>
        <v>Montgomery</v>
      </c>
      <c r="B221" s="10" t="str">
        <f ca="1">IFERROR(__xludf.DUMMYFUNCTION("""COMPUTED_VALUE"""),"Rockville")</f>
        <v>Rockville</v>
      </c>
      <c r="C221" s="10" t="str">
        <f ca="1">IFERROR(__xludf.DUMMYFUNCTION("""COMPUTED_VALUE"""),"CVS Rockville")</f>
        <v>CVS Rockville</v>
      </c>
      <c r="D221" s="10" t="str">
        <f ca="1">IFERROR(__xludf.DUMMYFUNCTION("""COMPUTED_VALUE"""),"11416 Rockville Pike,, Rockville, MD 20852")</f>
        <v>11416 Rockville Pike,, Rockville, MD 20852</v>
      </c>
      <c r="E221" s="10" t="str">
        <f ca="1">IFERROR(__xludf.DUMMYFUNCTION("""COMPUTED_VALUE"""),"Yes")</f>
        <v>Yes</v>
      </c>
      <c r="F221" s="10" t="str">
        <f ca="1">IFERROR(__xludf.DUMMYFUNCTION("""COMPUTED_VALUE"""),"Pharmacy")</f>
        <v>Pharmacy</v>
      </c>
      <c r="G221" s="10"/>
      <c r="H221" s="1"/>
      <c r="I221" s="2" t="str">
        <f ca="1">IFERROR(__xludf.DUMMYFUNCTION("""COMPUTED_VALUE"""),"https://www.cvs.com/immunizations/covid-19-vaccine")</f>
        <v>https://www.cvs.com/immunizations/covid-19-vaccine</v>
      </c>
      <c r="J221" s="1" t="str">
        <f ca="1">IFERROR(__xludf.DUMMYFUNCTION("""COMPUTED_VALUE"""),"Yes")</f>
        <v>Yes</v>
      </c>
      <c r="K221" s="1" t="str">
        <f ca="1">IFERROR(__xludf.DUMMYFUNCTION("""COMPUTED_VALUE"""),"800-746-7287")</f>
        <v>800-746-7287</v>
      </c>
      <c r="L221" s="1"/>
      <c r="M221" s="1" t="str">
        <f ca="1">IFERROR(__xludf.DUMMYFUNCTION("""COMPUTED_VALUE"""),"Schedule an appointment using the button below")</f>
        <v>Schedule an appointment using the button below</v>
      </c>
      <c r="N221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1" s="1" t="str">
        <f ca="1">IFERROR(__xludf.DUMMYFUNCTION("""COMPUTED_VALUE"""),"Yes")</f>
        <v>Yes</v>
      </c>
      <c r="P221" s="1" t="str">
        <f ca="1">IFERROR(__xludf.DUMMYFUNCTION("""COMPUTED_VALUE"""),"20852")</f>
        <v>20852</v>
      </c>
      <c r="Q221" s="1" t="str">
        <f ca="1">IFERROR(__xludf.DUMMYFUNCTION("""COMPUTED_VALUE"""),"Yes")</f>
        <v>Yes</v>
      </c>
      <c r="R221" s="1" t="str">
        <f ca="1">IFERROR(__xludf.DUMMYFUNCTION("""COMPUTED_VALUE"""),"No")</f>
        <v>No</v>
      </c>
      <c r="S221" s="1" t="str">
        <f ca="1">IFERROR(__xludf.DUMMYFUNCTION("""COMPUTED_VALUE"""),"No")</f>
        <v>No</v>
      </c>
      <c r="T221" s="1" t="str">
        <f ca="1">IFERROR(__xludf.DUMMYFUNCTION("""COMPUTED_VALUE"""),"Yes")</f>
        <v>Yes</v>
      </c>
    </row>
    <row r="222" spans="1:20" ht="13" x14ac:dyDescent="0.6">
      <c r="A222" s="10" t="str">
        <f ca="1">IFERROR(__xludf.DUMMYFUNCTION("""COMPUTED_VALUE"""),"Montgomery")</f>
        <v>Montgomery</v>
      </c>
      <c r="B222" s="10" t="str">
        <f ca="1">IFERROR(__xludf.DUMMYFUNCTION("""COMPUTED_VALUE"""),"Silver Spring")</f>
        <v>Silver Spring</v>
      </c>
      <c r="C222" s="10" t="str">
        <f ca="1">IFERROR(__xludf.DUMMYFUNCTION("""COMPUTED_VALUE"""),"CVS Silver Spring")</f>
        <v>CVS Silver Spring</v>
      </c>
      <c r="D222" s="10" t="str">
        <f ca="1">IFERROR(__xludf.DUMMYFUNCTION("""COMPUTED_VALUE"""),"12000 Cherry Hill Rd, Silver Spring, MD 20904")</f>
        <v>12000 Cherry Hill Rd, Silver Spring, MD 20904</v>
      </c>
      <c r="E222" s="10" t="str">
        <f ca="1">IFERROR(__xludf.DUMMYFUNCTION("""COMPUTED_VALUE"""),"Yes")</f>
        <v>Yes</v>
      </c>
      <c r="F222" s="10" t="str">
        <f ca="1">IFERROR(__xludf.DUMMYFUNCTION("""COMPUTED_VALUE"""),"Pharmacy")</f>
        <v>Pharmacy</v>
      </c>
      <c r="G222" s="10"/>
      <c r="H222" s="1"/>
      <c r="I222" s="2" t="str">
        <f ca="1">IFERROR(__xludf.DUMMYFUNCTION("""COMPUTED_VALUE"""),"https://www.cvs.com/immunizations/covid-19-vaccine")</f>
        <v>https://www.cvs.com/immunizations/covid-19-vaccine</v>
      </c>
      <c r="J222" s="1" t="str">
        <f ca="1">IFERROR(__xludf.DUMMYFUNCTION("""COMPUTED_VALUE"""),"Yes")</f>
        <v>Yes</v>
      </c>
      <c r="K222" s="1" t="str">
        <f ca="1">IFERROR(__xludf.DUMMYFUNCTION("""COMPUTED_VALUE"""),"800-746-7287")</f>
        <v>800-746-7287</v>
      </c>
      <c r="L222" s="1"/>
      <c r="M222" s="1" t="str">
        <f ca="1">IFERROR(__xludf.DUMMYFUNCTION("""COMPUTED_VALUE"""),"Schedule an appointment using the button below")</f>
        <v>Schedule an appointment using the button below</v>
      </c>
      <c r="N222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2" s="1" t="str">
        <f ca="1">IFERROR(__xludf.DUMMYFUNCTION("""COMPUTED_VALUE"""),"Yes")</f>
        <v>Yes</v>
      </c>
      <c r="P222" s="1" t="str">
        <f ca="1">IFERROR(__xludf.DUMMYFUNCTION("""COMPUTED_VALUE"""),"20904")</f>
        <v>20904</v>
      </c>
      <c r="Q222" s="1" t="str">
        <f ca="1">IFERROR(__xludf.DUMMYFUNCTION("""COMPUTED_VALUE"""),"Yes")</f>
        <v>Yes</v>
      </c>
      <c r="R222" s="1" t="str">
        <f ca="1">IFERROR(__xludf.DUMMYFUNCTION("""COMPUTED_VALUE"""),"No")</f>
        <v>No</v>
      </c>
      <c r="S222" s="1" t="str">
        <f ca="1">IFERROR(__xludf.DUMMYFUNCTION("""COMPUTED_VALUE"""),"No")</f>
        <v>No</v>
      </c>
      <c r="T222" s="1" t="str">
        <f ca="1">IFERROR(__xludf.DUMMYFUNCTION("""COMPUTED_VALUE"""),"Yes")</f>
        <v>Yes</v>
      </c>
    </row>
    <row r="223" spans="1:20" ht="13" x14ac:dyDescent="0.6">
      <c r="A223" s="10" t="str">
        <f ca="1">IFERROR(__xludf.DUMMYFUNCTION("""COMPUTED_VALUE"""),"Montgomery")</f>
        <v>Montgomery</v>
      </c>
      <c r="B223" s="10" t="str">
        <f ca="1">IFERROR(__xludf.DUMMYFUNCTION("""COMPUTED_VALUE"""),"Germantown")</f>
        <v>Germantown</v>
      </c>
      <c r="C223" s="10" t="str">
        <f ca="1">IFERROR(__xludf.DUMMYFUNCTION("""COMPUTED_VALUE"""),"CVS Germantown")</f>
        <v>CVS Germantown</v>
      </c>
      <c r="D223" s="10" t="str">
        <f ca="1">IFERROR(__xludf.DUMMYFUNCTION("""COMPUTED_VALUE"""),"20908 Frederick Rd, Germantown, MD 20876")</f>
        <v>20908 Frederick Rd, Germantown, MD 20876</v>
      </c>
      <c r="E223" s="10" t="str">
        <f ca="1">IFERROR(__xludf.DUMMYFUNCTION("""COMPUTED_VALUE"""),"Yes")</f>
        <v>Yes</v>
      </c>
      <c r="F223" s="10" t="str">
        <f ca="1">IFERROR(__xludf.DUMMYFUNCTION("""COMPUTED_VALUE"""),"Pharmacy")</f>
        <v>Pharmacy</v>
      </c>
      <c r="G223" s="10"/>
      <c r="H223" s="1"/>
      <c r="I223" s="2" t="str">
        <f ca="1">IFERROR(__xludf.DUMMYFUNCTION("""COMPUTED_VALUE"""),"https://www.cvs.com/immunizations/covid-19-vaccine")</f>
        <v>https://www.cvs.com/immunizations/covid-19-vaccine</v>
      </c>
      <c r="J223" s="1" t="str">
        <f ca="1">IFERROR(__xludf.DUMMYFUNCTION("""COMPUTED_VALUE"""),"Yes")</f>
        <v>Yes</v>
      </c>
      <c r="K223" s="1" t="str">
        <f ca="1">IFERROR(__xludf.DUMMYFUNCTION("""COMPUTED_VALUE"""),"800-746-7287")</f>
        <v>800-746-7287</v>
      </c>
      <c r="L223" s="1"/>
      <c r="M223" s="1" t="str">
        <f ca="1">IFERROR(__xludf.DUMMYFUNCTION("""COMPUTED_VALUE"""),"Schedule an appointment using the button below")</f>
        <v>Schedule an appointment using the button below</v>
      </c>
      <c r="N22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3" s="1" t="str">
        <f ca="1">IFERROR(__xludf.DUMMYFUNCTION("""COMPUTED_VALUE"""),"Yes")</f>
        <v>Yes</v>
      </c>
      <c r="P223" s="1" t="str">
        <f ca="1">IFERROR(__xludf.DUMMYFUNCTION("""COMPUTED_VALUE"""),"20876")</f>
        <v>20876</v>
      </c>
      <c r="Q223" s="1" t="str">
        <f ca="1">IFERROR(__xludf.DUMMYFUNCTION("""COMPUTED_VALUE"""),"Yes")</f>
        <v>Yes</v>
      </c>
      <c r="R223" s="1" t="str">
        <f ca="1">IFERROR(__xludf.DUMMYFUNCTION("""COMPUTED_VALUE"""),"No")</f>
        <v>No</v>
      </c>
      <c r="S223" s="1" t="str">
        <f ca="1">IFERROR(__xludf.DUMMYFUNCTION("""COMPUTED_VALUE"""),"No")</f>
        <v>No</v>
      </c>
      <c r="T223" s="1" t="str">
        <f ca="1">IFERROR(__xludf.DUMMYFUNCTION("""COMPUTED_VALUE"""),"Yes")</f>
        <v>Yes</v>
      </c>
    </row>
    <row r="224" spans="1:20" ht="13" x14ac:dyDescent="0.6">
      <c r="A224" s="10" t="str">
        <f ca="1">IFERROR(__xludf.DUMMYFUNCTION("""COMPUTED_VALUE"""),"Montgomery")</f>
        <v>Montgomery</v>
      </c>
      <c r="B224" s="10" t="str">
        <f ca="1">IFERROR(__xludf.DUMMYFUNCTION("""COMPUTED_VALUE"""),"Gaithersburg")</f>
        <v>Gaithersburg</v>
      </c>
      <c r="C224" s="10" t="str">
        <f ca="1">IFERROR(__xludf.DUMMYFUNCTION("""COMPUTED_VALUE"""),"CVS Gaithersburg")</f>
        <v>CVS Gaithersburg</v>
      </c>
      <c r="D224" s="10" t="str">
        <f ca="1">IFERROR(__xludf.DUMMYFUNCTION("""COMPUTED_VALUE"""),"25 Grand Corner Ave, Gaithersburg, MD 20878")</f>
        <v>25 Grand Corner Ave, Gaithersburg, MD 20878</v>
      </c>
      <c r="E224" s="10" t="str">
        <f ca="1">IFERROR(__xludf.DUMMYFUNCTION("""COMPUTED_VALUE"""),"Yes")</f>
        <v>Yes</v>
      </c>
      <c r="F224" s="10" t="str">
        <f ca="1">IFERROR(__xludf.DUMMYFUNCTION("""COMPUTED_VALUE"""),"Pharmacy")</f>
        <v>Pharmacy</v>
      </c>
      <c r="G224" s="10"/>
      <c r="H224" s="1"/>
      <c r="I224" s="2" t="str">
        <f ca="1">IFERROR(__xludf.DUMMYFUNCTION("""COMPUTED_VALUE"""),"https://www.cvs.com/immunizations/covid-19-vaccine")</f>
        <v>https://www.cvs.com/immunizations/covid-19-vaccine</v>
      </c>
      <c r="J224" s="1" t="str">
        <f ca="1">IFERROR(__xludf.DUMMYFUNCTION("""COMPUTED_VALUE"""),"Yes")</f>
        <v>Yes</v>
      </c>
      <c r="K224" s="1" t="str">
        <f ca="1">IFERROR(__xludf.DUMMYFUNCTION("""COMPUTED_VALUE"""),"800-746-7287")</f>
        <v>800-746-7287</v>
      </c>
      <c r="L224" s="1"/>
      <c r="M224" s="1" t="str">
        <f ca="1">IFERROR(__xludf.DUMMYFUNCTION("""COMPUTED_VALUE"""),"Schedule an appointment using the button below")</f>
        <v>Schedule an appointment using the button below</v>
      </c>
      <c r="N224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4" s="1" t="str">
        <f ca="1">IFERROR(__xludf.DUMMYFUNCTION("""COMPUTED_VALUE"""),"Yes")</f>
        <v>Yes</v>
      </c>
      <c r="P224" s="1" t="str">
        <f ca="1">IFERROR(__xludf.DUMMYFUNCTION("""COMPUTED_VALUE"""),"20878")</f>
        <v>20878</v>
      </c>
      <c r="Q224" s="1" t="str">
        <f ca="1">IFERROR(__xludf.DUMMYFUNCTION("""COMPUTED_VALUE"""),"No")</f>
        <v>No</v>
      </c>
      <c r="R224" s="1" t="str">
        <f ca="1">IFERROR(__xludf.DUMMYFUNCTION("""COMPUTED_VALUE"""),"No")</f>
        <v>No</v>
      </c>
      <c r="S224" s="1" t="str">
        <f ca="1">IFERROR(__xludf.DUMMYFUNCTION("""COMPUTED_VALUE"""),"No")</f>
        <v>No</v>
      </c>
      <c r="T224" s="1" t="str">
        <f ca="1">IFERROR(__xludf.DUMMYFUNCTION("""COMPUTED_VALUE"""),"Yes")</f>
        <v>Yes</v>
      </c>
    </row>
    <row r="225" spans="1:20" ht="13" x14ac:dyDescent="0.6">
      <c r="A225" s="10" t="str">
        <f ca="1">IFERROR(__xludf.DUMMYFUNCTION("""COMPUTED_VALUE"""),"Montgomery")</f>
        <v>Montgomery</v>
      </c>
      <c r="B225" s="10" t="str">
        <f ca="1">IFERROR(__xludf.DUMMYFUNCTION("""COMPUTED_VALUE"""),"Silver Spring")</f>
        <v>Silver Spring</v>
      </c>
      <c r="C225" s="10" t="str">
        <f ca="1">IFERROR(__xludf.DUMMYFUNCTION("""COMPUTED_VALUE"""),"CVS Silver Spring")</f>
        <v>CVS Silver Spring</v>
      </c>
      <c r="D225" s="10" t="str">
        <f ca="1">IFERROR(__xludf.DUMMYFUNCTION("""COMPUTED_VALUE"""),"9520 Georgia Avenue, Silver Spring, MD 20910")</f>
        <v>9520 Georgia Avenue, Silver Spring, MD 20910</v>
      </c>
      <c r="E225" s="10" t="str">
        <f ca="1">IFERROR(__xludf.DUMMYFUNCTION("""COMPUTED_VALUE"""),"Yes")</f>
        <v>Yes</v>
      </c>
      <c r="F225" s="10" t="str">
        <f ca="1">IFERROR(__xludf.DUMMYFUNCTION("""COMPUTED_VALUE"""),"Pharmacy")</f>
        <v>Pharmacy</v>
      </c>
      <c r="G225" s="10"/>
      <c r="H225" s="1"/>
      <c r="I225" s="2" t="str">
        <f ca="1">IFERROR(__xludf.DUMMYFUNCTION("""COMPUTED_VALUE"""),"https://www.cvs.com/immunizations/covid-19-vaccine")</f>
        <v>https://www.cvs.com/immunizations/covid-19-vaccine</v>
      </c>
      <c r="J225" s="1" t="str">
        <f ca="1">IFERROR(__xludf.DUMMYFUNCTION("""COMPUTED_VALUE"""),"Yes")</f>
        <v>Yes</v>
      </c>
      <c r="K225" s="1" t="str">
        <f ca="1">IFERROR(__xludf.DUMMYFUNCTION("""COMPUTED_VALUE"""),"800-746-7287")</f>
        <v>800-746-7287</v>
      </c>
      <c r="L225" s="1"/>
      <c r="M225" s="1" t="str">
        <f ca="1">IFERROR(__xludf.DUMMYFUNCTION("""COMPUTED_VALUE"""),"Schedule an appointment using the button below")</f>
        <v>Schedule an appointment using the button below</v>
      </c>
      <c r="N225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5" s="1" t="str">
        <f ca="1">IFERROR(__xludf.DUMMYFUNCTION("""COMPUTED_VALUE"""),"Yes")</f>
        <v>Yes</v>
      </c>
      <c r="P225" s="1" t="str">
        <f ca="1">IFERROR(__xludf.DUMMYFUNCTION("""COMPUTED_VALUE"""),"20910")</f>
        <v>20910</v>
      </c>
      <c r="Q225" s="1" t="str">
        <f ca="1">IFERROR(__xludf.DUMMYFUNCTION("""COMPUTED_VALUE"""),"Yes")</f>
        <v>Yes</v>
      </c>
      <c r="R225" s="1" t="str">
        <f ca="1">IFERROR(__xludf.DUMMYFUNCTION("""COMPUTED_VALUE"""),"No")</f>
        <v>No</v>
      </c>
      <c r="S225" s="1" t="str">
        <f ca="1">IFERROR(__xludf.DUMMYFUNCTION("""COMPUTED_VALUE"""),"No")</f>
        <v>No</v>
      </c>
      <c r="T225" s="1" t="str">
        <f ca="1">IFERROR(__xludf.DUMMYFUNCTION("""COMPUTED_VALUE"""),"Yes")</f>
        <v>Yes</v>
      </c>
    </row>
    <row r="226" spans="1:20" ht="13" x14ac:dyDescent="0.6">
      <c r="A226" s="10" t="str">
        <f ca="1">IFERROR(__xludf.DUMMYFUNCTION("""COMPUTED_VALUE"""),"Montgomery")</f>
        <v>Montgomery</v>
      </c>
      <c r="B226" s="10" t="str">
        <f ca="1">IFERROR(__xludf.DUMMYFUNCTION("""COMPUTED_VALUE"""),"Gaithersburg")</f>
        <v>Gaithersburg</v>
      </c>
      <c r="C226" s="10" t="str">
        <f ca="1">IFERROR(__xludf.DUMMYFUNCTION("""COMPUTED_VALUE"""),"Potomac Care")</f>
        <v>Potomac Care</v>
      </c>
      <c r="D226" s="10" t="str">
        <f ca="1">IFERROR(__xludf.DUMMYFUNCTION("""COMPUTED_VALUE"""),"12103 Darnestown Road, Gaithersburg, MD, 20878")</f>
        <v>12103 Darnestown Road, Gaithersburg, MD, 20878</v>
      </c>
      <c r="E226" s="10" t="str">
        <f ca="1">IFERROR(__xludf.DUMMYFUNCTION("""COMPUTED_VALUE"""),"Yes")</f>
        <v>Yes</v>
      </c>
      <c r="F226" s="10" t="str">
        <f ca="1">IFERROR(__xludf.DUMMYFUNCTION("""COMPUTED_VALUE"""),"Pharmacy")</f>
        <v>Pharmacy</v>
      </c>
      <c r="G226" s="10"/>
      <c r="H226" s="1"/>
      <c r="I226" s="1"/>
      <c r="J226" s="1" t="str">
        <f ca="1">IFERROR(__xludf.DUMMYFUNCTION("""COMPUTED_VALUE"""),"no")</f>
        <v>no</v>
      </c>
      <c r="K226" s="1" t="str">
        <f ca="1">IFERROR(__xludf.DUMMYFUNCTION("""COMPUTED_VALUE"""),"301-337-6430")</f>
        <v>301-337-6430</v>
      </c>
      <c r="L226" s="1"/>
      <c r="M226" s="1" t="str">
        <f ca="1">IFERROR(__xludf.DUMMYFUNCTION("""COMPUTED_VALUE"""),"Contact the site to schedule an appointment")</f>
        <v>Contact the site to schedule an appointment</v>
      </c>
      <c r="N226" s="1"/>
      <c r="O226" s="1"/>
      <c r="P226" s="1" t="str">
        <f ca="1">IFERROR(__xludf.DUMMYFUNCTION("""COMPUTED_VALUE"""),"20878")</f>
        <v>20878</v>
      </c>
      <c r="Q226" s="1" t="str">
        <f ca="1">IFERROR(__xludf.DUMMYFUNCTION("""COMPUTED_VALUE"""),"No")</f>
        <v>No</v>
      </c>
      <c r="R226" s="1" t="str">
        <f ca="1">IFERROR(__xludf.DUMMYFUNCTION("""COMPUTED_VALUE"""),"No")</f>
        <v>No</v>
      </c>
      <c r="S226" s="1" t="str">
        <f ca="1">IFERROR(__xludf.DUMMYFUNCTION("""COMPUTED_VALUE"""),"No")</f>
        <v>No</v>
      </c>
      <c r="T226" s="1" t="str">
        <f ca="1">IFERROR(__xludf.DUMMYFUNCTION("""COMPUTED_VALUE"""),"Yes")</f>
        <v>Yes</v>
      </c>
    </row>
    <row r="227" spans="1:20" ht="13" x14ac:dyDescent="0.6">
      <c r="A227" s="10" t="str">
        <f ca="1">IFERROR(__xludf.DUMMYFUNCTION("""COMPUTED_VALUE"""),"Montgomery")</f>
        <v>Montgomery</v>
      </c>
      <c r="B227" s="10" t="str">
        <f ca="1">IFERROR(__xludf.DUMMYFUNCTION("""COMPUTED_VALUE"""),"Clarksburg")</f>
        <v>Clarksburg</v>
      </c>
      <c r="C227" s="10" t="str">
        <f ca="1">IFERROR(__xludf.DUMMYFUNCTION("""COMPUTED_VALUE"""),"Procare Pharmacy")</f>
        <v>Procare Pharmacy</v>
      </c>
      <c r="D227" s="10" t="str">
        <f ca="1">IFERROR(__xludf.DUMMYFUNCTION("""COMPUTED_VALUE"""),"23213 Stringtown Road, Clarksburg, MD, 20871")</f>
        <v>23213 Stringtown Road, Clarksburg, MD, 20871</v>
      </c>
      <c r="E227" s="10" t="str">
        <f ca="1">IFERROR(__xludf.DUMMYFUNCTION("""COMPUTED_VALUE"""),"Yes")</f>
        <v>Yes</v>
      </c>
      <c r="F227" s="10" t="str">
        <f ca="1">IFERROR(__xludf.DUMMYFUNCTION("""COMPUTED_VALUE"""),"Pharmacy")</f>
        <v>Pharmacy</v>
      </c>
      <c r="G227" s="10"/>
      <c r="H227" s="1"/>
      <c r="I227" s="2" t="str">
        <f ca="1">IFERROR(__xludf.DUMMYFUNCTION("""COMPUTED_VALUE"""),"https://www.procarebeautyandcosmetics.com/")</f>
        <v>https://www.procarebeautyandcosmetics.com/</v>
      </c>
      <c r="J227" s="1" t="str">
        <f ca="1">IFERROR(__xludf.DUMMYFUNCTION("""COMPUTED_VALUE"""),"Yes")</f>
        <v>Yes</v>
      </c>
      <c r="K227" s="1"/>
      <c r="L227" s="1"/>
      <c r="M227" s="1" t="str">
        <f ca="1">IFERROR(__xludf.DUMMYFUNCTION("""COMPUTED_VALUE"""),"Schedule an appointment using the button below")</f>
        <v>Schedule an appointment using the button below</v>
      </c>
      <c r="N227" s="1"/>
      <c r="O227" s="1"/>
      <c r="P227" s="1" t="str">
        <f ca="1">IFERROR(__xludf.DUMMYFUNCTION("""COMPUTED_VALUE"""),"20871")</f>
        <v>20871</v>
      </c>
      <c r="Q227" s="1" t="str">
        <f ca="1">IFERROR(__xludf.DUMMYFUNCTION("""COMPUTED_VALUE"""),"No")</f>
        <v>No</v>
      </c>
      <c r="R227" s="1" t="str">
        <f ca="1">IFERROR(__xludf.DUMMYFUNCTION("""COMPUTED_VALUE"""),"No")</f>
        <v>No</v>
      </c>
      <c r="S227" s="1" t="str">
        <f ca="1">IFERROR(__xludf.DUMMYFUNCTION("""COMPUTED_VALUE"""),"No")</f>
        <v>No</v>
      </c>
      <c r="T227" s="1" t="str">
        <f ca="1">IFERROR(__xludf.DUMMYFUNCTION("""COMPUTED_VALUE"""),"Yes")</f>
        <v>Yes</v>
      </c>
    </row>
    <row r="228" spans="1:20" ht="13" x14ac:dyDescent="0.6">
      <c r="A228" s="10" t="str">
        <f ca="1">IFERROR(__xludf.DUMMYFUNCTION("""COMPUTED_VALUE"""),"Montgomery")</f>
        <v>Montgomery</v>
      </c>
      <c r="B228" s="10" t="str">
        <f ca="1">IFERROR(__xludf.DUMMYFUNCTION("""COMPUTED_VALUE"""),"Olney")</f>
        <v>Olney</v>
      </c>
      <c r="C228" s="10" t="str">
        <f ca="1">IFERROR(__xludf.DUMMYFUNCTION("""COMPUTED_VALUE"""),"CVS Olney")</f>
        <v>CVS Olney</v>
      </c>
      <c r="D228" s="10" t="str">
        <f ca="1">IFERROR(__xludf.DUMMYFUNCTION("""COMPUTED_VALUE"""),"3110 Olney Sandy Spring Road Olney, MD 20832")</f>
        <v>3110 Olney Sandy Spring Road Olney, MD 20832</v>
      </c>
      <c r="E228" s="10" t="str">
        <f ca="1">IFERROR(__xludf.DUMMYFUNCTION("""COMPUTED_VALUE"""),"Yes")</f>
        <v>Yes</v>
      </c>
      <c r="F228" s="10" t="str">
        <f ca="1">IFERROR(__xludf.DUMMYFUNCTION("""COMPUTED_VALUE"""),"Pharmacy")</f>
        <v>Pharmacy</v>
      </c>
      <c r="G228" s="10"/>
      <c r="H228" s="1"/>
      <c r="I228" s="2" t="str">
        <f ca="1">IFERROR(__xludf.DUMMYFUNCTION("""COMPUTED_VALUE"""),"https://www.cvs.com/immunizations/covid-19-vaccine")</f>
        <v>https://www.cvs.com/immunizations/covid-19-vaccine</v>
      </c>
      <c r="J228" s="1" t="str">
        <f ca="1">IFERROR(__xludf.DUMMYFUNCTION("""COMPUTED_VALUE"""),"Yes")</f>
        <v>Yes</v>
      </c>
      <c r="K228" s="1" t="str">
        <f ca="1">IFERROR(__xludf.DUMMYFUNCTION("""COMPUTED_VALUE"""),"800-746-7287")</f>
        <v>800-746-7287</v>
      </c>
      <c r="L228" s="1"/>
      <c r="M228" s="1" t="str">
        <f ca="1">IFERROR(__xludf.DUMMYFUNCTION("""COMPUTED_VALUE"""),"Schedule an appointment using the button below")</f>
        <v>Schedule an appointment using the button below</v>
      </c>
      <c r="N228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8" s="1" t="str">
        <f ca="1">IFERROR(__xludf.DUMMYFUNCTION("""COMPUTED_VALUE"""),"Yes")</f>
        <v>Yes</v>
      </c>
      <c r="P228" s="1" t="str">
        <f ca="1">IFERROR(__xludf.DUMMYFUNCTION("""COMPUTED_VALUE"""),"20832")</f>
        <v>20832</v>
      </c>
      <c r="Q228" s="1" t="str">
        <f ca="1">IFERROR(__xludf.DUMMYFUNCTION("""COMPUTED_VALUE"""),"Yes")</f>
        <v>Yes</v>
      </c>
      <c r="R228" s="1" t="str">
        <f ca="1">IFERROR(__xludf.DUMMYFUNCTION("""COMPUTED_VALUE"""),"No")</f>
        <v>No</v>
      </c>
      <c r="S228" s="1" t="str">
        <f ca="1">IFERROR(__xludf.DUMMYFUNCTION("""COMPUTED_VALUE"""),"No")</f>
        <v>No</v>
      </c>
      <c r="T228" s="1" t="str">
        <f ca="1">IFERROR(__xludf.DUMMYFUNCTION("""COMPUTED_VALUE"""),"Yes")</f>
        <v>Yes</v>
      </c>
    </row>
    <row r="229" spans="1:20" ht="13" x14ac:dyDescent="0.6">
      <c r="A229" s="10" t="str">
        <f ca="1">IFERROR(__xludf.DUMMYFUNCTION("""COMPUTED_VALUE"""),"Montgomery")</f>
        <v>Montgomery</v>
      </c>
      <c r="B229" s="10" t="str">
        <f ca="1">IFERROR(__xludf.DUMMYFUNCTION("""COMPUTED_VALUE"""),"Rockville")</f>
        <v>Rockville</v>
      </c>
      <c r="C229" s="10" t="str">
        <f ca="1">IFERROR(__xludf.DUMMYFUNCTION("""COMPUTED_VALUE"""),"CVS Rockville")</f>
        <v>CVS Rockville</v>
      </c>
      <c r="D229" s="10" t="str">
        <f ca="1">IFERROR(__xludf.DUMMYFUNCTION("""COMPUTED_VALUE"""),"799 Rockville Pike Rockville, MD 20852")</f>
        <v>799 Rockville Pike Rockville, MD 20852</v>
      </c>
      <c r="E229" s="10" t="str">
        <f ca="1">IFERROR(__xludf.DUMMYFUNCTION("""COMPUTED_VALUE"""),"Yes")</f>
        <v>Yes</v>
      </c>
      <c r="F229" s="10" t="str">
        <f ca="1">IFERROR(__xludf.DUMMYFUNCTION("""COMPUTED_VALUE"""),"Pharmacy")</f>
        <v>Pharmacy</v>
      </c>
      <c r="G229" s="10"/>
      <c r="H229" s="1"/>
      <c r="I229" s="2" t="str">
        <f ca="1">IFERROR(__xludf.DUMMYFUNCTION("""COMPUTED_VALUE"""),"https://www.cvs.com/immunizations/covid-19-vaccine")</f>
        <v>https://www.cvs.com/immunizations/covid-19-vaccine</v>
      </c>
      <c r="J229" s="1" t="str">
        <f ca="1">IFERROR(__xludf.DUMMYFUNCTION("""COMPUTED_VALUE"""),"Yes")</f>
        <v>Yes</v>
      </c>
      <c r="K229" s="1" t="str">
        <f ca="1">IFERROR(__xludf.DUMMYFUNCTION("""COMPUTED_VALUE"""),"800-746-7287")</f>
        <v>800-746-7287</v>
      </c>
      <c r="L229" s="1"/>
      <c r="M229" s="1" t="str">
        <f ca="1">IFERROR(__xludf.DUMMYFUNCTION("""COMPUTED_VALUE"""),"Schedule an appointment using the button below")</f>
        <v>Schedule an appointment using the button below</v>
      </c>
      <c r="N229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29" s="1" t="str">
        <f ca="1">IFERROR(__xludf.DUMMYFUNCTION("""COMPUTED_VALUE"""),"Yes")</f>
        <v>Yes</v>
      </c>
      <c r="P229" s="1" t="str">
        <f ca="1">IFERROR(__xludf.DUMMYFUNCTION("""COMPUTED_VALUE"""),"20852")</f>
        <v>20852</v>
      </c>
      <c r="Q229" s="1" t="str">
        <f ca="1">IFERROR(__xludf.DUMMYFUNCTION("""COMPUTED_VALUE"""),"Yes")</f>
        <v>Yes</v>
      </c>
      <c r="R229" s="1" t="str">
        <f ca="1">IFERROR(__xludf.DUMMYFUNCTION("""COMPUTED_VALUE"""),"No")</f>
        <v>No</v>
      </c>
      <c r="S229" s="1" t="str">
        <f ca="1">IFERROR(__xludf.DUMMYFUNCTION("""COMPUTED_VALUE"""),"No")</f>
        <v>No</v>
      </c>
      <c r="T229" s="1" t="str">
        <f ca="1">IFERROR(__xludf.DUMMYFUNCTION("""COMPUTED_VALUE"""),"Yes")</f>
        <v>Yes</v>
      </c>
    </row>
    <row r="230" spans="1:20" ht="13" x14ac:dyDescent="0.6">
      <c r="A230" s="10" t="str">
        <f ca="1">IFERROR(__xludf.DUMMYFUNCTION("""COMPUTED_VALUE"""),"Montgomery")</f>
        <v>Montgomery</v>
      </c>
      <c r="B230" s="10" t="str">
        <f ca="1">IFERROR(__xludf.DUMMYFUNCTION("""COMPUTED_VALUE"""),"Bethesda")</f>
        <v>Bethesda</v>
      </c>
      <c r="C230" s="10" t="str">
        <f ca="1">IFERROR(__xludf.DUMMYFUNCTION("""COMPUTED_VALUE"""),"Harris Teeter Bethesda")</f>
        <v>Harris Teeter Bethesda</v>
      </c>
      <c r="D230" s="10" t="str">
        <f ca="1">IFERROR(__xludf.DUMMYFUNCTION("""COMPUTED_VALUE"""),"4805 Battery Lane Bethesda, MD 20814")</f>
        <v>4805 Battery Lane Bethesda, MD 20814</v>
      </c>
      <c r="E230" s="10" t="str">
        <f ca="1">IFERROR(__xludf.DUMMYFUNCTION("""COMPUTED_VALUE"""),"Yes")</f>
        <v>Yes</v>
      </c>
      <c r="F230" s="10" t="str">
        <f ca="1">IFERROR(__xludf.DUMMYFUNCTION("""COMPUTED_VALUE"""),"Pharmacy")</f>
        <v>Pharmacy</v>
      </c>
      <c r="G230" s="10"/>
      <c r="H230" s="1"/>
      <c r="I230" s="2" t="str">
        <f ca="1">IFERROR(__xludf.DUMMYFUNCTION("""COMPUTED_VALUE"""),"https://www.harristeeterpharmacy.com/rx/covid-eligibility")</f>
        <v>https://www.harristeeterpharmacy.com/rx/covid-eligibility</v>
      </c>
      <c r="J230" s="1" t="str">
        <f ca="1">IFERROR(__xludf.DUMMYFUNCTION("""COMPUTED_VALUE"""),"Yes")</f>
        <v>Yes</v>
      </c>
      <c r="K230" s="1"/>
      <c r="L230" s="1"/>
      <c r="M230" s="1" t="str">
        <f ca="1">IFERROR(__xludf.DUMMYFUNCTION("""COMPUTED_VALUE"""),"Schedule an appointment using the button below")</f>
        <v>Schedule an appointment using the button below</v>
      </c>
      <c r="N230" s="1"/>
      <c r="O230" s="1" t="str">
        <f ca="1">IFERROR(__xludf.DUMMYFUNCTION("""COMPUTED_VALUE"""),"Yes")</f>
        <v>Yes</v>
      </c>
      <c r="P230" s="1" t="str">
        <f ca="1">IFERROR(__xludf.DUMMYFUNCTION("""COMPUTED_VALUE"""),"20814")</f>
        <v>20814</v>
      </c>
      <c r="Q230" s="1" t="str">
        <f ca="1">IFERROR(__xludf.DUMMYFUNCTION("""COMPUTED_VALUE"""),"Yes")</f>
        <v>Yes</v>
      </c>
      <c r="R230" s="1" t="str">
        <f ca="1">IFERROR(__xludf.DUMMYFUNCTION("""COMPUTED_VALUE"""),"Yes")</f>
        <v>Yes</v>
      </c>
      <c r="S230" s="1" t="str">
        <f ca="1">IFERROR(__xludf.DUMMYFUNCTION("""COMPUTED_VALUE"""),"No")</f>
        <v>No</v>
      </c>
      <c r="T230" s="1" t="str">
        <f ca="1">IFERROR(__xludf.DUMMYFUNCTION("""COMPUTED_VALUE"""),"Yes")</f>
        <v>Yes</v>
      </c>
    </row>
    <row r="231" spans="1:20" ht="13" x14ac:dyDescent="0.6">
      <c r="A231" s="10" t="str">
        <f ca="1">IFERROR(__xludf.DUMMYFUNCTION("""COMPUTED_VALUE"""),"Montgomery")</f>
        <v>Montgomery</v>
      </c>
      <c r="B231" s="10" t="str">
        <f ca="1">IFERROR(__xludf.DUMMYFUNCTION("""COMPUTED_VALUE"""),"Clarksburg")</f>
        <v>Clarksburg</v>
      </c>
      <c r="C231" s="10" t="str">
        <f ca="1">IFERROR(__xludf.DUMMYFUNCTION("""COMPUTED_VALUE"""),"Harris Teeter Clarksburg")</f>
        <v>Harris Teeter Clarksburg</v>
      </c>
      <c r="D231" s="10" t="str">
        <f ca="1">IFERROR(__xludf.DUMMYFUNCTION("""COMPUTED_VALUE"""),"22700 Sweetshrub Dr. Clarksburg, MD 20871")</f>
        <v>22700 Sweetshrub Dr. Clarksburg, MD 20871</v>
      </c>
      <c r="E231" s="10" t="str">
        <f ca="1">IFERROR(__xludf.DUMMYFUNCTION("""COMPUTED_VALUE"""),"Yes")</f>
        <v>Yes</v>
      </c>
      <c r="F231" s="10" t="str">
        <f ca="1">IFERROR(__xludf.DUMMYFUNCTION("""COMPUTED_VALUE"""),"Pharmacy")</f>
        <v>Pharmacy</v>
      </c>
      <c r="G231" s="10"/>
      <c r="H231" s="1"/>
      <c r="I231" s="2" t="str">
        <f ca="1">IFERROR(__xludf.DUMMYFUNCTION("""COMPUTED_VALUE"""),"https://www.harristeeterpharmacy.com/rx/covid-eligibility")</f>
        <v>https://www.harristeeterpharmacy.com/rx/covid-eligibility</v>
      </c>
      <c r="J231" s="1" t="str">
        <f ca="1">IFERROR(__xludf.DUMMYFUNCTION("""COMPUTED_VALUE"""),"Yes")</f>
        <v>Yes</v>
      </c>
      <c r="K231" s="1"/>
      <c r="L231" s="1"/>
      <c r="M231" s="1" t="str">
        <f ca="1">IFERROR(__xludf.DUMMYFUNCTION("""COMPUTED_VALUE"""),"Schedule an appointment using the button below")</f>
        <v>Schedule an appointment using the button below</v>
      </c>
      <c r="N231" s="1"/>
      <c r="O231" s="1"/>
      <c r="P231" s="1" t="str">
        <f ca="1">IFERROR(__xludf.DUMMYFUNCTION("""COMPUTED_VALUE"""),"20871")</f>
        <v>20871</v>
      </c>
      <c r="Q231" s="1" t="str">
        <f ca="1">IFERROR(__xludf.DUMMYFUNCTION("""COMPUTED_VALUE"""),"Yes")</f>
        <v>Yes</v>
      </c>
      <c r="R231" s="1" t="str">
        <f ca="1">IFERROR(__xludf.DUMMYFUNCTION("""COMPUTED_VALUE"""),"Yes")</f>
        <v>Yes</v>
      </c>
      <c r="S231" s="1" t="str">
        <f ca="1">IFERROR(__xludf.DUMMYFUNCTION("""COMPUTED_VALUE"""),"No")</f>
        <v>No</v>
      </c>
      <c r="T231" s="1" t="str">
        <f ca="1">IFERROR(__xludf.DUMMYFUNCTION("""COMPUTED_VALUE"""),"Yes")</f>
        <v>Yes</v>
      </c>
    </row>
    <row r="232" spans="1:20" ht="13" x14ac:dyDescent="0.6">
      <c r="A232" s="10" t="str">
        <f ca="1">IFERROR(__xludf.DUMMYFUNCTION("""COMPUTED_VALUE"""),"Montgomery")</f>
        <v>Montgomery</v>
      </c>
      <c r="B232" s="10" t="str">
        <f ca="1">IFERROR(__xludf.DUMMYFUNCTION("""COMPUTED_VALUE"""),"Rockville")</f>
        <v>Rockville</v>
      </c>
      <c r="C232" s="10" t="str">
        <f ca="1">IFERROR(__xludf.DUMMYFUNCTION("""COMPUTED_VALUE"""),"Midtown Pharmacy")</f>
        <v>Midtown Pharmacy</v>
      </c>
      <c r="D232" s="10" t="str">
        <f ca="1">IFERROR(__xludf.DUMMYFUNCTION("""COMPUTED_VALUE"""),"121 Congressional Lane, Suite 101 Rockville, MD 20852")</f>
        <v>121 Congressional Lane, Suite 101 Rockville, MD 20852</v>
      </c>
      <c r="E232" s="10" t="str">
        <f ca="1">IFERROR(__xludf.DUMMYFUNCTION("""COMPUTED_VALUE"""),"Yes")</f>
        <v>Yes</v>
      </c>
      <c r="F232" s="10" t="str">
        <f ca="1">IFERROR(__xludf.DUMMYFUNCTION("""COMPUTED_VALUE"""),"Pharmacy")</f>
        <v>Pharmacy</v>
      </c>
      <c r="G232" s="11" t="str">
        <f ca="1">IFERROR(__xludf.DUMMYFUNCTION("""COMPUTED_VALUE"""),"https://midtownpharmacyllc.com/")</f>
        <v>https://midtownpharmacyllc.com/</v>
      </c>
      <c r="H232" s="1" t="str">
        <f ca="1">IFERROR(__xludf.DUMMYFUNCTION("""COMPUTED_VALUE"""),"Mon - Fri 9:30 a.m. - 4:30 p.m. ")</f>
        <v xml:space="preserve">Mon - Fri 9:30 a.m. - 4:30 p.m. </v>
      </c>
      <c r="I232" s="2" t="str">
        <f ca="1">IFERROR(__xludf.DUMMYFUNCTION("""COMPUTED_VALUE"""),"https://midtownpharmacyllc.com/covid-19-vaccination/")</f>
        <v>https://midtownpharmacyllc.com/covid-19-vaccination/</v>
      </c>
      <c r="J232" s="1" t="str">
        <f ca="1">IFERROR(__xludf.DUMMYFUNCTION("""COMPUTED_VALUE"""),"Yes")</f>
        <v>Yes</v>
      </c>
      <c r="K232" s="1" t="str">
        <f ca="1">IFERROR(__xludf.DUMMYFUNCTION("""COMPUTED_VALUE"""),"240-833-3937")</f>
        <v>240-833-3937</v>
      </c>
      <c r="L232" s="1"/>
      <c r="M232" s="1" t="str">
        <f ca="1">IFERROR(__xludf.DUMMYFUNCTION("""COMPUTED_VALUE"""),"Schedule an appointment using the button below")</f>
        <v>Schedule an appointment using the button below</v>
      </c>
      <c r="N232" s="1"/>
      <c r="O232" s="1" t="str">
        <f ca="1">IFERROR(__xludf.DUMMYFUNCTION("""COMPUTED_VALUE"""),"Yes")</f>
        <v>Yes</v>
      </c>
      <c r="P232" s="1" t="str">
        <f ca="1">IFERROR(__xludf.DUMMYFUNCTION("""COMPUTED_VALUE"""),"20852")</f>
        <v>20852</v>
      </c>
      <c r="Q232" s="1" t="str">
        <f ca="1">IFERROR(__xludf.DUMMYFUNCTION("""COMPUTED_VALUE"""),"#N/A")</f>
        <v>#N/A</v>
      </c>
      <c r="R232" s="1" t="str">
        <f ca="1">IFERROR(__xludf.DUMMYFUNCTION("""COMPUTED_VALUE"""),"#N/A")</f>
        <v>#N/A</v>
      </c>
      <c r="S232" s="1" t="str">
        <f ca="1">IFERROR(__xludf.DUMMYFUNCTION("""COMPUTED_VALUE"""),"#N/A")</f>
        <v>#N/A</v>
      </c>
      <c r="T232" s="1" t="str">
        <f ca="1">IFERROR(__xludf.DUMMYFUNCTION("""COMPUTED_VALUE"""),"Yes")</f>
        <v>Yes</v>
      </c>
    </row>
    <row r="233" spans="1:20" ht="13" x14ac:dyDescent="0.6">
      <c r="A233" s="1" t="str">
        <f ca="1">IFERROR(__xludf.DUMMYFUNCTION("""COMPUTED_VALUE"""),"Prince George's")</f>
        <v>Prince George's</v>
      </c>
      <c r="B233" s="1" t="str">
        <f ca="1">IFERROR(__xludf.DUMMYFUNCTION("""COMPUTED_VALUE"""),"Bowie")</f>
        <v>Bowie</v>
      </c>
      <c r="C233" s="1" t="str">
        <f ca="1">IFERROR(__xludf.DUMMYFUNCTION("""COMPUTED_VALUE"""),"Giant Food Bowie")</f>
        <v>Giant Food Bowie</v>
      </c>
      <c r="D233" s="1" t="str">
        <f ca="1">IFERROR(__xludf.DUMMYFUNCTION("""COMPUTED_VALUE"""),"15520 Annapolis Road Bowie MD 20715")</f>
        <v>15520 Annapolis Road Bowie MD 20715</v>
      </c>
      <c r="E233" s="1" t="str">
        <f ca="1">IFERROR(__xludf.DUMMYFUNCTION("""COMPUTED_VALUE"""),"Yes")</f>
        <v>Yes</v>
      </c>
      <c r="F233" s="1" t="str">
        <f ca="1">IFERROR(__xludf.DUMMYFUNCTION("""COMPUTED_VALUE"""),"Pharmacy")</f>
        <v>Pharmacy</v>
      </c>
      <c r="G233" s="1"/>
      <c r="H233" s="1"/>
      <c r="I233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33" s="1"/>
      <c r="K233" s="1" t="str">
        <f ca="1">IFERROR(__xludf.DUMMYFUNCTION("""COMPUTED_VALUE"""),"301-809-3151")</f>
        <v>301-809-3151</v>
      </c>
      <c r="L233" s="1"/>
      <c r="M233" s="1" t="str">
        <f ca="1">IFERROR(__xludf.DUMMYFUNCTION("""COMPUTED_VALUE"""),"Schedule an appointment using the button below")</f>
        <v>Schedule an appointment using the button below</v>
      </c>
      <c r="N233" s="1"/>
      <c r="O233" s="1" t="str">
        <f ca="1">IFERROR(__xludf.DUMMYFUNCTION("""COMPUTED_VALUE"""),"Yes")</f>
        <v>Yes</v>
      </c>
      <c r="P233" s="1" t="str">
        <f ca="1">IFERROR(__xludf.DUMMYFUNCTION("""COMPUTED_VALUE"""),"20715")</f>
        <v>20715</v>
      </c>
      <c r="Q233" s="1" t="str">
        <f ca="1">IFERROR(__xludf.DUMMYFUNCTION("""COMPUTED_VALUE"""),"Yes")</f>
        <v>Yes</v>
      </c>
      <c r="R233" s="1" t="str">
        <f ca="1">IFERROR(__xludf.DUMMYFUNCTION("""COMPUTED_VALUE"""),"Yes")</f>
        <v>Yes</v>
      </c>
      <c r="S233" s="1" t="str">
        <f ca="1">IFERROR(__xludf.DUMMYFUNCTION("""COMPUTED_VALUE"""),"No")</f>
        <v>No</v>
      </c>
      <c r="T233" s="1" t="str">
        <f ca="1">IFERROR(__xludf.DUMMYFUNCTION("""COMPUTED_VALUE"""),"Yes")</f>
        <v>Yes</v>
      </c>
    </row>
    <row r="234" spans="1:20" ht="13" x14ac:dyDescent="0.6">
      <c r="A234" s="1" t="str">
        <f ca="1">IFERROR(__xludf.DUMMYFUNCTION("""COMPUTED_VALUE"""),"Prince George's")</f>
        <v>Prince George's</v>
      </c>
      <c r="B234" s="1" t="str">
        <f ca="1">IFERROR(__xludf.DUMMYFUNCTION("""COMPUTED_VALUE"""),"Hyattsville")</f>
        <v>Hyattsville</v>
      </c>
      <c r="C234" s="1" t="str">
        <f ca="1">IFERROR(__xludf.DUMMYFUNCTION("""COMPUTED_VALUE"""),"Giant Food Hyattsville")</f>
        <v>Giant Food Hyattsville</v>
      </c>
      <c r="D234" s="1" t="str">
        <f ca="1">IFERROR(__xludf.DUMMYFUNCTION("""COMPUTED_VALUE"""),"3521 East West Highway Hyattsville MD 20782")</f>
        <v>3521 East West Highway Hyattsville MD 20782</v>
      </c>
      <c r="E234" s="1" t="str">
        <f ca="1">IFERROR(__xludf.DUMMYFUNCTION("""COMPUTED_VALUE"""),"Yes")</f>
        <v>Yes</v>
      </c>
      <c r="F234" s="1" t="str">
        <f ca="1">IFERROR(__xludf.DUMMYFUNCTION("""COMPUTED_VALUE"""),"Pharmacy")</f>
        <v>Pharmacy</v>
      </c>
      <c r="G234" s="1"/>
      <c r="H234" s="1"/>
      <c r="I234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34" s="1"/>
      <c r="K234" s="1" t="str">
        <f ca="1">IFERROR(__xludf.DUMMYFUNCTION("""COMPUTED_VALUE"""),"301-853-3701")</f>
        <v>301-853-3701</v>
      </c>
      <c r="L234" s="1"/>
      <c r="M234" s="1" t="str">
        <f ca="1">IFERROR(__xludf.DUMMYFUNCTION("""COMPUTED_VALUE"""),"Schedule an appointment using the button below")</f>
        <v>Schedule an appointment using the button below</v>
      </c>
      <c r="N234" s="1"/>
      <c r="O234" s="1" t="str">
        <f ca="1">IFERROR(__xludf.DUMMYFUNCTION("""COMPUTED_VALUE"""),"Yes")</f>
        <v>Yes</v>
      </c>
      <c r="P234" s="1" t="str">
        <f ca="1">IFERROR(__xludf.DUMMYFUNCTION("""COMPUTED_VALUE"""),"20782")</f>
        <v>20782</v>
      </c>
      <c r="Q234" s="1" t="str">
        <f ca="1">IFERROR(__xludf.DUMMYFUNCTION("""COMPUTED_VALUE"""),"Yes")</f>
        <v>Yes</v>
      </c>
      <c r="R234" s="1" t="str">
        <f ca="1">IFERROR(__xludf.DUMMYFUNCTION("""COMPUTED_VALUE"""),"Yes")</f>
        <v>Yes</v>
      </c>
      <c r="S234" s="1" t="str">
        <f ca="1">IFERROR(__xludf.DUMMYFUNCTION("""COMPUTED_VALUE"""),"No")</f>
        <v>No</v>
      </c>
      <c r="T234" s="1" t="str">
        <f ca="1">IFERROR(__xludf.DUMMYFUNCTION("""COMPUTED_VALUE"""),"Yes")</f>
        <v>Yes</v>
      </c>
    </row>
    <row r="235" spans="1:20" ht="13" x14ac:dyDescent="0.6">
      <c r="A235" s="1" t="str">
        <f ca="1">IFERROR(__xludf.DUMMYFUNCTION("""COMPUTED_VALUE"""),"Prince George's")</f>
        <v>Prince George's</v>
      </c>
      <c r="B235" s="1" t="str">
        <f ca="1">IFERROR(__xludf.DUMMYFUNCTION("""COMPUTED_VALUE"""),"Largo")</f>
        <v>Largo</v>
      </c>
      <c r="C235" s="1" t="str">
        <f ca="1">IFERROR(__xludf.DUMMYFUNCTION("""COMPUTED_VALUE"""),"Giant Food Largo")</f>
        <v>Giant Food Largo</v>
      </c>
      <c r="D235" s="1" t="str">
        <f ca="1">IFERROR(__xludf.DUMMYFUNCTION("""COMPUTED_VALUE"""),"10480 Campus Way South Largo MD 20774")</f>
        <v>10480 Campus Way South Largo MD 20774</v>
      </c>
      <c r="E235" s="1" t="str">
        <f ca="1">IFERROR(__xludf.DUMMYFUNCTION("""COMPUTED_VALUE"""),"Yes")</f>
        <v>Yes</v>
      </c>
      <c r="F235" s="1" t="str">
        <f ca="1">IFERROR(__xludf.DUMMYFUNCTION("""COMPUTED_VALUE"""),"Pharmacy")</f>
        <v>Pharmacy</v>
      </c>
      <c r="G235" s="1"/>
      <c r="H235" s="1"/>
      <c r="I235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35" s="1"/>
      <c r="K235" s="1" t="str">
        <f ca="1">IFERROR(__xludf.DUMMYFUNCTION("""COMPUTED_VALUE"""),"301-336-9428")</f>
        <v>301-336-9428</v>
      </c>
      <c r="L235" s="1"/>
      <c r="M235" s="1" t="str">
        <f ca="1">IFERROR(__xludf.DUMMYFUNCTION("""COMPUTED_VALUE"""),"Schedule an appointment using the button below")</f>
        <v>Schedule an appointment using the button below</v>
      </c>
      <c r="N235" s="1"/>
      <c r="O235" s="1" t="str">
        <f ca="1">IFERROR(__xludf.DUMMYFUNCTION("""COMPUTED_VALUE"""),"Yes")</f>
        <v>Yes</v>
      </c>
      <c r="P235" s="1" t="str">
        <f ca="1">IFERROR(__xludf.DUMMYFUNCTION("""COMPUTED_VALUE"""),"20774")</f>
        <v>20774</v>
      </c>
      <c r="Q235" s="1" t="str">
        <f ca="1">IFERROR(__xludf.DUMMYFUNCTION("""COMPUTED_VALUE"""),"Yes")</f>
        <v>Yes</v>
      </c>
      <c r="R235" s="1" t="str">
        <f ca="1">IFERROR(__xludf.DUMMYFUNCTION("""COMPUTED_VALUE"""),"Yes")</f>
        <v>Yes</v>
      </c>
      <c r="S235" s="1" t="str">
        <f ca="1">IFERROR(__xludf.DUMMYFUNCTION("""COMPUTED_VALUE"""),"No")</f>
        <v>No</v>
      </c>
      <c r="T235" s="1" t="str">
        <f ca="1">IFERROR(__xludf.DUMMYFUNCTION("""COMPUTED_VALUE"""),"Yes")</f>
        <v>Yes</v>
      </c>
    </row>
    <row r="236" spans="1:20" ht="13" x14ac:dyDescent="0.6">
      <c r="A236" s="1" t="str">
        <f ca="1">IFERROR(__xludf.DUMMYFUNCTION("""COMPUTED_VALUE"""),"Prince George's")</f>
        <v>Prince George's</v>
      </c>
      <c r="B236" s="1" t="str">
        <f ca="1">IFERROR(__xludf.DUMMYFUNCTION("""COMPUTED_VALUE"""),"District Heights")</f>
        <v>District Heights</v>
      </c>
      <c r="C236" s="1" t="str">
        <f ca="1">IFERROR(__xludf.DUMMYFUNCTION("""COMPUTED_VALUE"""),"Giant Food District Heights")</f>
        <v>Giant Food District Heights</v>
      </c>
      <c r="D236" s="1" t="str">
        <f ca="1">IFERROR(__xludf.DUMMYFUNCTION("""COMPUTED_VALUE"""),"5500 Silver Hill District Heights MD 20747")</f>
        <v>5500 Silver Hill District Heights MD 20747</v>
      </c>
      <c r="E236" s="1" t="str">
        <f ca="1">IFERROR(__xludf.DUMMYFUNCTION("""COMPUTED_VALUE"""),"Yes")</f>
        <v>Yes</v>
      </c>
      <c r="F236" s="1" t="str">
        <f ca="1">IFERROR(__xludf.DUMMYFUNCTION("""COMPUTED_VALUE"""),"Pharmacy")</f>
        <v>Pharmacy</v>
      </c>
      <c r="G236" s="1"/>
      <c r="H236" s="1"/>
      <c r="I236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36" s="1"/>
      <c r="K236" s="1" t="str">
        <f ca="1">IFERROR(__xludf.DUMMYFUNCTION("""COMPUTED_VALUE"""),"301-817-3181")</f>
        <v>301-817-3181</v>
      </c>
      <c r="L236" s="1"/>
      <c r="M236" s="1" t="str">
        <f ca="1">IFERROR(__xludf.DUMMYFUNCTION("""COMPUTED_VALUE"""),"Schedule an appointment using the button below")</f>
        <v>Schedule an appointment using the button below</v>
      </c>
      <c r="N236" s="1"/>
      <c r="O236" s="1" t="str">
        <f ca="1">IFERROR(__xludf.DUMMYFUNCTION("""COMPUTED_VALUE"""),"Yes")</f>
        <v>Yes</v>
      </c>
      <c r="P236" s="1" t="str">
        <f ca="1">IFERROR(__xludf.DUMMYFUNCTION("""COMPUTED_VALUE"""),"20747")</f>
        <v>20747</v>
      </c>
      <c r="Q236" s="1" t="str">
        <f ca="1">IFERROR(__xludf.DUMMYFUNCTION("""COMPUTED_VALUE"""),"Yes")</f>
        <v>Yes</v>
      </c>
      <c r="R236" s="1" t="str">
        <f ca="1">IFERROR(__xludf.DUMMYFUNCTION("""COMPUTED_VALUE"""),"Yes")</f>
        <v>Yes</v>
      </c>
      <c r="S236" s="1" t="str">
        <f ca="1">IFERROR(__xludf.DUMMYFUNCTION("""COMPUTED_VALUE"""),"Yes")</f>
        <v>Yes</v>
      </c>
      <c r="T236" s="1" t="str">
        <f ca="1">IFERROR(__xludf.DUMMYFUNCTION("""COMPUTED_VALUE"""),"Yes")</f>
        <v>Yes</v>
      </c>
    </row>
    <row r="237" spans="1:20" ht="13" x14ac:dyDescent="0.6">
      <c r="A237" s="1" t="str">
        <f ca="1">IFERROR(__xludf.DUMMYFUNCTION("""COMPUTED_VALUE"""),"Prince George's")</f>
        <v>Prince George's</v>
      </c>
      <c r="B237" s="1" t="str">
        <f ca="1">IFERROR(__xludf.DUMMYFUNCTION("""COMPUTED_VALUE"""),"Upper Marlboro")</f>
        <v>Upper Marlboro</v>
      </c>
      <c r="C237" s="1" t="str">
        <f ca="1">IFERROR(__xludf.DUMMYFUNCTION("""COMPUTED_VALUE"""),"Safeway Upper Marlboro")</f>
        <v>Safeway Upper Marlboro</v>
      </c>
      <c r="D237" s="1" t="str">
        <f ca="1">IFERROR(__xludf.DUMMYFUNCTION("""COMPUTED_VALUE"""),"7605 Crain Highway Upper Marlboro, MD 20772")</f>
        <v>7605 Crain Highway Upper Marlboro, MD 20772</v>
      </c>
      <c r="E237" s="1" t="str">
        <f ca="1">IFERROR(__xludf.DUMMYFUNCTION("""COMPUTED_VALUE"""),"Yes")</f>
        <v>Yes</v>
      </c>
      <c r="F237" s="1" t="str">
        <f ca="1">IFERROR(__xludf.DUMMYFUNCTION("""COMPUTED_VALUE"""),"Pharmacy")</f>
        <v>Pharmacy</v>
      </c>
      <c r="G237" s="1"/>
      <c r="H237" s="1"/>
      <c r="I237" s="2" t="str">
        <f ca="1">IFERROR(__xludf.DUMMYFUNCTION("""COMPUTED_VALUE"""),"https://mhealthsystem.com/covid2795")</f>
        <v>https://mhealthsystem.com/covid2795</v>
      </c>
      <c r="J237" s="1"/>
      <c r="K237" s="1"/>
      <c r="L237" s="1"/>
      <c r="M237" s="1" t="str">
        <f ca="1">IFERROR(__xludf.DUMMYFUNCTION("""COMPUTED_VALUE"""),"Schedule an appointment using the button below")</f>
        <v>Schedule an appointment using the button below</v>
      </c>
      <c r="N237" s="1"/>
      <c r="O237" s="1" t="str">
        <f ca="1">IFERROR(__xludf.DUMMYFUNCTION("""COMPUTED_VALUE"""),"Yes")</f>
        <v>Yes</v>
      </c>
      <c r="P237" s="1" t="str">
        <f ca="1">IFERROR(__xludf.DUMMYFUNCTION("""COMPUTED_VALUE"""),"20772")</f>
        <v>20772</v>
      </c>
      <c r="Q237" s="1" t="str">
        <f ca="1">IFERROR(__xludf.DUMMYFUNCTION("""COMPUTED_VALUE"""),"Yes")</f>
        <v>Yes</v>
      </c>
      <c r="R237" s="1" t="str">
        <f ca="1">IFERROR(__xludf.DUMMYFUNCTION("""COMPUTED_VALUE"""),"Yes")</f>
        <v>Yes</v>
      </c>
      <c r="S237" s="1" t="str">
        <f ca="1">IFERROR(__xludf.DUMMYFUNCTION("""COMPUTED_VALUE"""),"No")</f>
        <v>No</v>
      </c>
      <c r="T237" s="1" t="str">
        <f ca="1">IFERROR(__xludf.DUMMYFUNCTION("""COMPUTED_VALUE"""),"Yes")</f>
        <v>Yes</v>
      </c>
    </row>
    <row r="238" spans="1:20" ht="13" x14ac:dyDescent="0.6">
      <c r="A238" s="1" t="str">
        <f ca="1">IFERROR(__xludf.DUMMYFUNCTION("""COMPUTED_VALUE"""),"Prince George's")</f>
        <v>Prince George's</v>
      </c>
      <c r="B238" s="1" t="str">
        <f ca="1">IFERROR(__xludf.DUMMYFUNCTION("""COMPUTED_VALUE"""),"Largo")</f>
        <v>Largo</v>
      </c>
      <c r="C238" s="1" t="str">
        <f ca="1">IFERROR(__xludf.DUMMYFUNCTION("""COMPUTED_VALUE"""),"Walgreens Largo")</f>
        <v>Walgreens Largo</v>
      </c>
      <c r="D238" s="1" t="str">
        <f ca="1">IFERROR(__xludf.DUMMYFUNCTION("""COMPUTED_VALUE"""),"9810 Apollo Drive Largo MD 20774")</f>
        <v>9810 Apollo Drive Largo MD 20774</v>
      </c>
      <c r="E238" s="1" t="str">
        <f ca="1">IFERROR(__xludf.DUMMYFUNCTION("""COMPUTED_VALUE"""),"Yes")</f>
        <v>Yes</v>
      </c>
      <c r="F238" s="1" t="str">
        <f ca="1">IFERROR(__xludf.DUMMYFUNCTION("""COMPUTED_VALUE"""),"Pharmacy")</f>
        <v>Pharmacy</v>
      </c>
      <c r="G238" s="1"/>
      <c r="H238" s="1"/>
      <c r="I238" s="2" t="str">
        <f ca="1">IFERROR(__xludf.DUMMYFUNCTION("""COMPUTED_VALUE"""),"https://www.walgreens.com/schedulevaccine")</f>
        <v>https://www.walgreens.com/schedulevaccine</v>
      </c>
      <c r="J238" s="1"/>
      <c r="K238" s="1" t="str">
        <f ca="1">IFERROR(__xludf.DUMMYFUNCTION("""COMPUTED_VALUE"""),"1-800-WALGREENS")</f>
        <v>1-800-WALGREENS</v>
      </c>
      <c r="L238" s="1"/>
      <c r="M238" s="1" t="str">
        <f ca="1">IFERROR(__xludf.DUMMYFUNCTION("""COMPUTED_VALUE"""),"Schedule an appointment using the button below")</f>
        <v>Schedule an appointment using the button below</v>
      </c>
      <c r="N238" s="1"/>
      <c r="O238" s="1" t="str">
        <f ca="1">IFERROR(__xludf.DUMMYFUNCTION("""COMPUTED_VALUE"""),"Yes")</f>
        <v>Yes</v>
      </c>
      <c r="P238" s="1" t="str">
        <f ca="1">IFERROR(__xludf.DUMMYFUNCTION("""COMPUTED_VALUE"""),"20774")</f>
        <v>20774</v>
      </c>
      <c r="Q238" s="1" t="str">
        <f ca="1">IFERROR(__xludf.DUMMYFUNCTION("""COMPUTED_VALUE"""),"Yes")</f>
        <v>Yes</v>
      </c>
      <c r="R238" s="1" t="str">
        <f ca="1">IFERROR(__xludf.DUMMYFUNCTION("""COMPUTED_VALUE"""),"No")</f>
        <v>No</v>
      </c>
      <c r="S238" s="1" t="str">
        <f ca="1">IFERROR(__xludf.DUMMYFUNCTION("""COMPUTED_VALUE"""),"No")</f>
        <v>No</v>
      </c>
      <c r="T238" s="1" t="str">
        <f ca="1">IFERROR(__xludf.DUMMYFUNCTION("""COMPUTED_VALUE"""),"Yes")</f>
        <v>Yes</v>
      </c>
    </row>
    <row r="239" spans="1:20" ht="13" x14ac:dyDescent="0.6">
      <c r="A239" s="1" t="str">
        <f ca="1">IFERROR(__xludf.DUMMYFUNCTION("""COMPUTED_VALUE"""),"Prince George's")</f>
        <v>Prince George's</v>
      </c>
      <c r="B239" s="1" t="str">
        <f ca="1">IFERROR(__xludf.DUMMYFUNCTION("""COMPUTED_VALUE"""),"Cheverly")</f>
        <v>Cheverly</v>
      </c>
      <c r="C239" s="1" t="str">
        <f ca="1">IFERROR(__xludf.DUMMYFUNCTION("""COMPUTED_VALUE"""),"Walgreens Cheverly")</f>
        <v>Walgreens Cheverly</v>
      </c>
      <c r="D239" s="1" t="str">
        <f ca="1">IFERROR(__xludf.DUMMYFUNCTION("""COMPUTED_VALUE"""),"6498 Landover Rd Cheverly MD 20785")</f>
        <v>6498 Landover Rd Cheverly MD 20785</v>
      </c>
      <c r="E239" s="1" t="str">
        <f ca="1">IFERROR(__xludf.DUMMYFUNCTION("""COMPUTED_VALUE"""),"Yes")</f>
        <v>Yes</v>
      </c>
      <c r="F239" s="1" t="str">
        <f ca="1">IFERROR(__xludf.DUMMYFUNCTION("""COMPUTED_VALUE"""),"Pharmacy")</f>
        <v>Pharmacy</v>
      </c>
      <c r="G239" s="1"/>
      <c r="H239" s="1"/>
      <c r="I239" s="2" t="str">
        <f ca="1">IFERROR(__xludf.DUMMYFUNCTION("""COMPUTED_VALUE"""),"https://www.walgreens.com/schedulevaccine")</f>
        <v>https://www.walgreens.com/schedulevaccine</v>
      </c>
      <c r="J239" s="1"/>
      <c r="K239" s="1" t="str">
        <f ca="1">IFERROR(__xludf.DUMMYFUNCTION("""COMPUTED_VALUE"""),"1-800-WALGREENS")</f>
        <v>1-800-WALGREENS</v>
      </c>
      <c r="L239" s="1"/>
      <c r="M239" s="1" t="str">
        <f ca="1">IFERROR(__xludf.DUMMYFUNCTION("""COMPUTED_VALUE"""),"Schedule an appointment using the button below")</f>
        <v>Schedule an appointment using the button below</v>
      </c>
      <c r="N239" s="1"/>
      <c r="O239" s="1" t="str">
        <f ca="1">IFERROR(__xludf.DUMMYFUNCTION("""COMPUTED_VALUE"""),"Yes")</f>
        <v>Yes</v>
      </c>
      <c r="P239" s="1" t="str">
        <f ca="1">IFERROR(__xludf.DUMMYFUNCTION("""COMPUTED_VALUE"""),"20785")</f>
        <v>20785</v>
      </c>
      <c r="Q239" s="1" t="str">
        <f ca="1">IFERROR(__xludf.DUMMYFUNCTION("""COMPUTED_VALUE"""),"Yes")</f>
        <v>Yes</v>
      </c>
      <c r="R239" s="1" t="str">
        <f ca="1">IFERROR(__xludf.DUMMYFUNCTION("""COMPUTED_VALUE"""),"No")</f>
        <v>No</v>
      </c>
      <c r="S239" s="1" t="str">
        <f ca="1">IFERROR(__xludf.DUMMYFUNCTION("""COMPUTED_VALUE"""),"No")</f>
        <v>No</v>
      </c>
      <c r="T239" s="1" t="str">
        <f ca="1">IFERROR(__xludf.DUMMYFUNCTION("""COMPUTED_VALUE"""),"Yes")</f>
        <v>Yes</v>
      </c>
    </row>
    <row r="240" spans="1:20" ht="13" x14ac:dyDescent="0.6">
      <c r="A240" s="1" t="str">
        <f ca="1">IFERROR(__xludf.DUMMYFUNCTION("""COMPUTED_VALUE"""),"Prince George's")</f>
        <v>Prince George's</v>
      </c>
      <c r="B240" s="1" t="str">
        <f ca="1">IFERROR(__xludf.DUMMYFUNCTION("""COMPUTED_VALUE"""),"District Heights")</f>
        <v>District Heights</v>
      </c>
      <c r="C240" s="1" t="str">
        <f ca="1">IFERROR(__xludf.DUMMYFUNCTION("""COMPUTED_VALUE"""),"Walgreens District Heights")</f>
        <v>Walgreens District Heights</v>
      </c>
      <c r="D240" s="1" t="str">
        <f ca="1">IFERROR(__xludf.DUMMYFUNCTION("""COMPUTED_VALUE"""),"5741 Silver Hill Rd District Heights MD 20747")</f>
        <v>5741 Silver Hill Rd District Heights MD 20747</v>
      </c>
      <c r="E240" s="1" t="str">
        <f ca="1">IFERROR(__xludf.DUMMYFUNCTION("""COMPUTED_VALUE"""),"Yes")</f>
        <v>Yes</v>
      </c>
      <c r="F240" s="1" t="str">
        <f ca="1">IFERROR(__xludf.DUMMYFUNCTION("""COMPUTED_VALUE"""),"Pharmacy")</f>
        <v>Pharmacy</v>
      </c>
      <c r="G240" s="1"/>
      <c r="H240" s="1"/>
      <c r="I240" s="2" t="str">
        <f ca="1">IFERROR(__xludf.DUMMYFUNCTION("""COMPUTED_VALUE"""),"https://www.walgreens.com/schedulevaccine")</f>
        <v>https://www.walgreens.com/schedulevaccine</v>
      </c>
      <c r="J240" s="1"/>
      <c r="K240" s="1" t="str">
        <f ca="1">IFERROR(__xludf.DUMMYFUNCTION("""COMPUTED_VALUE"""),"1-800-WALGREENS")</f>
        <v>1-800-WALGREENS</v>
      </c>
      <c r="L240" s="1"/>
      <c r="M240" s="1" t="str">
        <f ca="1">IFERROR(__xludf.DUMMYFUNCTION("""COMPUTED_VALUE"""),"Schedule an appointment using the button below")</f>
        <v>Schedule an appointment using the button below</v>
      </c>
      <c r="N240" s="1"/>
      <c r="O240" s="1" t="str">
        <f ca="1">IFERROR(__xludf.DUMMYFUNCTION("""COMPUTED_VALUE"""),"Yes")</f>
        <v>Yes</v>
      </c>
      <c r="P240" s="1" t="str">
        <f ca="1">IFERROR(__xludf.DUMMYFUNCTION("""COMPUTED_VALUE"""),"20747")</f>
        <v>20747</v>
      </c>
      <c r="Q240" s="1" t="str">
        <f ca="1">IFERROR(__xludf.DUMMYFUNCTION("""COMPUTED_VALUE"""),"Yes")</f>
        <v>Yes</v>
      </c>
      <c r="R240" s="1" t="str">
        <f ca="1">IFERROR(__xludf.DUMMYFUNCTION("""COMPUTED_VALUE"""),"No")</f>
        <v>No</v>
      </c>
      <c r="S240" s="1" t="str">
        <f ca="1">IFERROR(__xludf.DUMMYFUNCTION("""COMPUTED_VALUE"""),"No")</f>
        <v>No</v>
      </c>
      <c r="T240" s="1" t="str">
        <f ca="1">IFERROR(__xludf.DUMMYFUNCTION("""COMPUTED_VALUE"""),"Yes")</f>
        <v>Yes</v>
      </c>
    </row>
    <row r="241" spans="1:20" ht="13" x14ac:dyDescent="0.6">
      <c r="A241" s="1" t="str">
        <f ca="1">IFERROR(__xludf.DUMMYFUNCTION("""COMPUTED_VALUE"""),"Prince George's")</f>
        <v>Prince George's</v>
      </c>
      <c r="B241" s="1" t="str">
        <f ca="1">IFERROR(__xludf.DUMMYFUNCTION("""COMPUTED_VALUE"""),"Clinton")</f>
        <v>Clinton</v>
      </c>
      <c r="C241" s="1" t="str">
        <f ca="1">IFERROR(__xludf.DUMMYFUNCTION("""COMPUTED_VALUE"""),"Walgreens Clinton")</f>
        <v>Walgreens Clinton</v>
      </c>
      <c r="D241" s="1" t="str">
        <f ca="1">IFERROR(__xludf.DUMMYFUNCTION("""COMPUTED_VALUE"""),"9001 Woody Ter Clinton MD 20735")</f>
        <v>9001 Woody Ter Clinton MD 20735</v>
      </c>
      <c r="E241" s="1" t="str">
        <f ca="1">IFERROR(__xludf.DUMMYFUNCTION("""COMPUTED_VALUE"""),"Yes")</f>
        <v>Yes</v>
      </c>
      <c r="F241" s="1" t="str">
        <f ca="1">IFERROR(__xludf.DUMMYFUNCTION("""COMPUTED_VALUE"""),"Pharmacy")</f>
        <v>Pharmacy</v>
      </c>
      <c r="G241" s="1"/>
      <c r="H241" s="1"/>
      <c r="I241" s="2" t="str">
        <f ca="1">IFERROR(__xludf.DUMMYFUNCTION("""COMPUTED_VALUE"""),"https://www.walgreens.com/schedulevaccine")</f>
        <v>https://www.walgreens.com/schedulevaccine</v>
      </c>
      <c r="J241" s="1"/>
      <c r="K241" s="1" t="str">
        <f ca="1">IFERROR(__xludf.DUMMYFUNCTION("""COMPUTED_VALUE"""),"1-800-WALGREENS")</f>
        <v>1-800-WALGREENS</v>
      </c>
      <c r="L241" s="1"/>
      <c r="M241" s="1" t="str">
        <f ca="1">IFERROR(__xludf.DUMMYFUNCTION("""COMPUTED_VALUE"""),"Schedule an appointment using the button below")</f>
        <v>Schedule an appointment using the button below</v>
      </c>
      <c r="N241" s="1"/>
      <c r="O241" s="1" t="str">
        <f ca="1">IFERROR(__xludf.DUMMYFUNCTION("""COMPUTED_VALUE"""),"Yes")</f>
        <v>Yes</v>
      </c>
      <c r="P241" s="1" t="str">
        <f ca="1">IFERROR(__xludf.DUMMYFUNCTION("""COMPUTED_VALUE"""),"20735")</f>
        <v>20735</v>
      </c>
      <c r="Q241" s="1" t="str">
        <f ca="1">IFERROR(__xludf.DUMMYFUNCTION("""COMPUTED_VALUE"""),"Yes")</f>
        <v>Yes</v>
      </c>
      <c r="R241" s="1" t="str">
        <f ca="1">IFERROR(__xludf.DUMMYFUNCTION("""COMPUTED_VALUE"""),"No")</f>
        <v>No</v>
      </c>
      <c r="S241" s="1" t="str">
        <f ca="1">IFERROR(__xludf.DUMMYFUNCTION("""COMPUTED_VALUE"""),"No")</f>
        <v>No</v>
      </c>
      <c r="T241" s="1" t="str">
        <f ca="1">IFERROR(__xludf.DUMMYFUNCTION("""COMPUTED_VALUE"""),"Yes")</f>
        <v>Yes</v>
      </c>
    </row>
    <row r="242" spans="1:20" ht="13" x14ac:dyDescent="0.6">
      <c r="A242" s="1" t="str">
        <f ca="1">IFERROR(__xludf.DUMMYFUNCTION("""COMPUTED_VALUE"""),"Prince George's")</f>
        <v>Prince George's</v>
      </c>
      <c r="B242" s="1" t="str">
        <f ca="1">IFERROR(__xludf.DUMMYFUNCTION("""COMPUTED_VALUE"""),"Riverdale")</f>
        <v>Riverdale</v>
      </c>
      <c r="C242" s="1" t="str">
        <f ca="1">IFERROR(__xludf.DUMMYFUNCTION("""COMPUTED_VALUE"""),"Walgreens Riverdale")</f>
        <v>Walgreens Riverdale</v>
      </c>
      <c r="D242" s="1" t="str">
        <f ca="1">IFERROR(__xludf.DUMMYFUNCTION("""COMPUTED_VALUE"""),"6130 Baltimore Ave Riverdale MD 20737")</f>
        <v>6130 Baltimore Ave Riverdale MD 20737</v>
      </c>
      <c r="E242" s="1" t="str">
        <f ca="1">IFERROR(__xludf.DUMMYFUNCTION("""COMPUTED_VALUE"""),"Yes")</f>
        <v>Yes</v>
      </c>
      <c r="F242" s="1" t="str">
        <f ca="1">IFERROR(__xludf.DUMMYFUNCTION("""COMPUTED_VALUE"""),"Pharmacy")</f>
        <v>Pharmacy</v>
      </c>
      <c r="G242" s="1"/>
      <c r="H242" s="1"/>
      <c r="I242" s="2" t="str">
        <f ca="1">IFERROR(__xludf.DUMMYFUNCTION("""COMPUTED_VALUE"""),"https://www.walgreens.com/schedulevaccine")</f>
        <v>https://www.walgreens.com/schedulevaccine</v>
      </c>
      <c r="J242" s="1"/>
      <c r="K242" s="1" t="str">
        <f ca="1">IFERROR(__xludf.DUMMYFUNCTION("""COMPUTED_VALUE"""),"1-800-WALGREENS")</f>
        <v>1-800-WALGREENS</v>
      </c>
      <c r="L242" s="1"/>
      <c r="M242" s="1" t="str">
        <f ca="1">IFERROR(__xludf.DUMMYFUNCTION("""COMPUTED_VALUE"""),"Schedule an appointment using the button below")</f>
        <v>Schedule an appointment using the button below</v>
      </c>
      <c r="N242" s="1"/>
      <c r="O242" s="1" t="str">
        <f ca="1">IFERROR(__xludf.DUMMYFUNCTION("""COMPUTED_VALUE"""),"Yes")</f>
        <v>Yes</v>
      </c>
      <c r="P242" s="1" t="str">
        <f ca="1">IFERROR(__xludf.DUMMYFUNCTION("""COMPUTED_VALUE"""),"20737")</f>
        <v>20737</v>
      </c>
      <c r="Q242" s="1" t="str">
        <f ca="1">IFERROR(__xludf.DUMMYFUNCTION("""COMPUTED_VALUE"""),"Yes")</f>
        <v>Yes</v>
      </c>
      <c r="R242" s="1" t="str">
        <f ca="1">IFERROR(__xludf.DUMMYFUNCTION("""COMPUTED_VALUE"""),"No")</f>
        <v>No</v>
      </c>
      <c r="S242" s="1" t="str">
        <f ca="1">IFERROR(__xludf.DUMMYFUNCTION("""COMPUTED_VALUE"""),"No")</f>
        <v>No</v>
      </c>
      <c r="T242" s="1" t="str">
        <f ca="1">IFERROR(__xludf.DUMMYFUNCTION("""COMPUTED_VALUE"""),"Yes")</f>
        <v>Yes</v>
      </c>
    </row>
    <row r="243" spans="1:20" ht="13" x14ac:dyDescent="0.6">
      <c r="A243" s="1" t="str">
        <f ca="1">IFERROR(__xludf.DUMMYFUNCTION("""COMPUTED_VALUE"""),"Prince George's")</f>
        <v>Prince George's</v>
      </c>
      <c r="B243" s="1" t="str">
        <f ca="1">IFERROR(__xludf.DUMMYFUNCTION("""COMPUTED_VALUE"""),"New Carrollton")</f>
        <v>New Carrollton</v>
      </c>
      <c r="C243" s="1" t="str">
        <f ca="1">IFERROR(__xludf.DUMMYFUNCTION("""COMPUTED_VALUE"""),"CVS New Carrollton")</f>
        <v>CVS New Carrollton</v>
      </c>
      <c r="D243" s="1" t="str">
        <f ca="1">IFERROR(__xludf.DUMMYFUNCTION("""COMPUTED_VALUE"""),"8201 Annapolis Road Hyattsville Maryland 20784")</f>
        <v>8201 Annapolis Road Hyattsville Maryland 20784</v>
      </c>
      <c r="E243" s="1" t="str">
        <f ca="1">IFERROR(__xludf.DUMMYFUNCTION("""COMPUTED_VALUE"""),"Yes")</f>
        <v>Yes</v>
      </c>
      <c r="F243" s="1" t="str">
        <f ca="1">IFERROR(__xludf.DUMMYFUNCTION("""COMPUTED_VALUE"""),"Pharmacy")</f>
        <v>Pharmacy</v>
      </c>
      <c r="G243" s="1"/>
      <c r="H243" s="1"/>
      <c r="I243" s="2" t="str">
        <f ca="1">IFERROR(__xludf.DUMMYFUNCTION("""COMPUTED_VALUE"""),"https://www.cvs.com/immunizations/covid-19-vaccine")</f>
        <v>https://www.cvs.com/immunizations/covid-19-vaccine</v>
      </c>
      <c r="J243" s="1" t="str">
        <f ca="1">IFERROR(__xludf.DUMMYFUNCTION("""COMPUTED_VALUE"""),"Yes")</f>
        <v>Yes</v>
      </c>
      <c r="K243" s="1" t="str">
        <f ca="1">IFERROR(__xludf.DUMMYFUNCTION("""COMPUTED_VALUE"""),"800-746-7287")</f>
        <v>800-746-7287</v>
      </c>
      <c r="L243" s="1"/>
      <c r="M243" s="1" t="str">
        <f ca="1">IFERROR(__xludf.DUMMYFUNCTION("""COMPUTED_VALUE"""),"Schedule an appointment using the button below")</f>
        <v>Schedule an appointment using the button below</v>
      </c>
      <c r="N24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43" s="1" t="str">
        <f ca="1">IFERROR(__xludf.DUMMYFUNCTION("""COMPUTED_VALUE"""),"Yes")</f>
        <v>Yes</v>
      </c>
      <c r="P243" s="1" t="str">
        <f ca="1">IFERROR(__xludf.DUMMYFUNCTION("""COMPUTED_VALUE"""),"20784")</f>
        <v>20784</v>
      </c>
      <c r="Q243" s="1" t="str">
        <f ca="1">IFERROR(__xludf.DUMMYFUNCTION("""COMPUTED_VALUE"""),"Yes")</f>
        <v>Yes</v>
      </c>
      <c r="R243" s="1" t="str">
        <f ca="1">IFERROR(__xludf.DUMMYFUNCTION("""COMPUTED_VALUE"""),"No")</f>
        <v>No</v>
      </c>
      <c r="S243" s="1" t="str">
        <f ca="1">IFERROR(__xludf.DUMMYFUNCTION("""COMPUTED_VALUE"""),"No")</f>
        <v>No</v>
      </c>
      <c r="T243" s="1" t="str">
        <f ca="1">IFERROR(__xludf.DUMMYFUNCTION("""COMPUTED_VALUE"""),"Yes")</f>
        <v>Yes</v>
      </c>
    </row>
    <row r="244" spans="1:20" ht="13" x14ac:dyDescent="0.6">
      <c r="A244" s="1" t="str">
        <f ca="1">IFERROR(__xludf.DUMMYFUNCTION("""COMPUTED_VALUE"""),"Prince George's")</f>
        <v>Prince George's</v>
      </c>
      <c r="B244" s="1" t="str">
        <f ca="1">IFERROR(__xludf.DUMMYFUNCTION("""COMPUTED_VALUE"""),"Lanham")</f>
        <v>Lanham</v>
      </c>
      <c r="C244" s="1" t="str">
        <f ca="1">IFERROR(__xludf.DUMMYFUNCTION("""COMPUTED_VALUE"""),"CVS Lanham")</f>
        <v>CVS Lanham</v>
      </c>
      <c r="D244" s="1" t="str">
        <f ca="1">IFERROR(__xludf.DUMMYFUNCTION("""COMPUTED_VALUE"""),"8601 Martin Luther King Jr. Hwy. Lanham MD 20706")</f>
        <v>8601 Martin Luther King Jr. Hwy. Lanham MD 20706</v>
      </c>
      <c r="E244" s="1" t="str">
        <f ca="1">IFERROR(__xludf.DUMMYFUNCTION("""COMPUTED_VALUE"""),"Yes")</f>
        <v>Yes</v>
      </c>
      <c r="F244" s="1" t="str">
        <f ca="1">IFERROR(__xludf.DUMMYFUNCTION("""COMPUTED_VALUE"""),"Pharmacy")</f>
        <v>Pharmacy</v>
      </c>
      <c r="G244" s="1"/>
      <c r="H244" s="1"/>
      <c r="I244" s="2" t="str">
        <f ca="1">IFERROR(__xludf.DUMMYFUNCTION("""COMPUTED_VALUE"""),"https://www.cvs.com/immunizations/covid-19-vaccine")</f>
        <v>https://www.cvs.com/immunizations/covid-19-vaccine</v>
      </c>
      <c r="J244" s="1" t="str">
        <f ca="1">IFERROR(__xludf.DUMMYFUNCTION("""COMPUTED_VALUE"""),"Yes")</f>
        <v>Yes</v>
      </c>
      <c r="K244" s="1" t="str">
        <f ca="1">IFERROR(__xludf.DUMMYFUNCTION("""COMPUTED_VALUE"""),"800-746-7287")</f>
        <v>800-746-7287</v>
      </c>
      <c r="L244" s="1"/>
      <c r="M244" s="1" t="str">
        <f ca="1">IFERROR(__xludf.DUMMYFUNCTION("""COMPUTED_VALUE"""),"Schedule an appointment using the button below")</f>
        <v>Schedule an appointment using the button below</v>
      </c>
      <c r="N244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44" s="1" t="str">
        <f ca="1">IFERROR(__xludf.DUMMYFUNCTION("""COMPUTED_VALUE"""),"Yes")</f>
        <v>Yes</v>
      </c>
      <c r="P244" s="1" t="str">
        <f ca="1">IFERROR(__xludf.DUMMYFUNCTION("""COMPUTED_VALUE"""),"20706")</f>
        <v>20706</v>
      </c>
      <c r="Q244" s="1" t="str">
        <f ca="1">IFERROR(__xludf.DUMMYFUNCTION("""COMPUTED_VALUE"""),"Yes")</f>
        <v>Yes</v>
      </c>
      <c r="R244" s="1" t="str">
        <f ca="1">IFERROR(__xludf.DUMMYFUNCTION("""COMPUTED_VALUE"""),"No")</f>
        <v>No</v>
      </c>
      <c r="S244" s="1" t="str">
        <f ca="1">IFERROR(__xludf.DUMMYFUNCTION("""COMPUTED_VALUE"""),"No")</f>
        <v>No</v>
      </c>
      <c r="T244" s="1" t="str">
        <f ca="1">IFERROR(__xludf.DUMMYFUNCTION("""COMPUTED_VALUE"""),"Yes")</f>
        <v>Yes</v>
      </c>
    </row>
    <row r="245" spans="1:20" ht="13" x14ac:dyDescent="0.6">
      <c r="A245" s="1" t="str">
        <f ca="1">IFERROR(__xludf.DUMMYFUNCTION("""COMPUTED_VALUE"""),"Prince George's")</f>
        <v>Prince George's</v>
      </c>
      <c r="B245" s="1" t="str">
        <f ca="1">IFERROR(__xludf.DUMMYFUNCTION("""COMPUTED_VALUE"""),"Bowie")</f>
        <v>Bowie</v>
      </c>
      <c r="C245" s="1" t="str">
        <f ca="1">IFERROR(__xludf.DUMMYFUNCTION("""COMPUTED_VALUE"""),"Safeway Bowie")</f>
        <v>Safeway Bowie</v>
      </c>
      <c r="D245" s="1" t="str">
        <f ca="1">IFERROR(__xludf.DUMMYFUNCTION("""COMPUTED_VALUE"""),"12410 Fairwood Pkwy Bowie MD 20720")</f>
        <v>12410 Fairwood Pkwy Bowie MD 20720</v>
      </c>
      <c r="E245" s="1" t="str">
        <f ca="1">IFERROR(__xludf.DUMMYFUNCTION("""COMPUTED_VALUE"""),"Yes")</f>
        <v>Yes</v>
      </c>
      <c r="F245" s="1" t="str">
        <f ca="1">IFERROR(__xludf.DUMMYFUNCTION("""COMPUTED_VALUE"""),"Pharmacy")</f>
        <v>Pharmacy</v>
      </c>
      <c r="G245" s="1"/>
      <c r="H245" s="1"/>
      <c r="I245" s="2" t="str">
        <f ca="1">IFERROR(__xludf.DUMMYFUNCTION("""COMPUTED_VALUE"""),"https://www.safeway.com/covid-19")</f>
        <v>https://www.safeway.com/covid-19</v>
      </c>
      <c r="J245" s="1"/>
      <c r="K245" s="1"/>
      <c r="L245" s="1"/>
      <c r="M245" s="1" t="str">
        <f ca="1">IFERROR(__xludf.DUMMYFUNCTION("""COMPUTED_VALUE"""),"Schedule an appointment using the button below")</f>
        <v>Schedule an appointment using the button below</v>
      </c>
      <c r="N245" s="1"/>
      <c r="O245" s="1" t="str">
        <f ca="1">IFERROR(__xludf.DUMMYFUNCTION("""COMPUTED_VALUE"""),"Yes")</f>
        <v>Yes</v>
      </c>
      <c r="P245" s="1" t="str">
        <f ca="1">IFERROR(__xludf.DUMMYFUNCTION("""COMPUTED_VALUE"""),"20720")</f>
        <v>20720</v>
      </c>
      <c r="Q245" s="1" t="str">
        <f ca="1">IFERROR(__xludf.DUMMYFUNCTION("""COMPUTED_VALUE"""),"Yes")</f>
        <v>Yes</v>
      </c>
      <c r="R245" s="1" t="str">
        <f ca="1">IFERROR(__xludf.DUMMYFUNCTION("""COMPUTED_VALUE"""),"Yes")</f>
        <v>Yes</v>
      </c>
      <c r="S245" s="1" t="str">
        <f ca="1">IFERROR(__xludf.DUMMYFUNCTION("""COMPUTED_VALUE"""),"No")</f>
        <v>No</v>
      </c>
      <c r="T245" s="1" t="str">
        <f ca="1">IFERROR(__xludf.DUMMYFUNCTION("""COMPUTED_VALUE"""),"Yes")</f>
        <v>Yes</v>
      </c>
    </row>
    <row r="246" spans="1:20" ht="13" x14ac:dyDescent="0.6">
      <c r="A246" s="1" t="str">
        <f ca="1">IFERROR(__xludf.DUMMYFUNCTION("""COMPUTED_VALUE"""),"Prince George's")</f>
        <v>Prince George's</v>
      </c>
      <c r="B246" s="1" t="str">
        <f ca="1">IFERROR(__xludf.DUMMYFUNCTION("""COMPUTED_VALUE"""),"Bladensburg")</f>
        <v>Bladensburg</v>
      </c>
      <c r="C246" s="1" t="str">
        <f ca="1">IFERROR(__xludf.DUMMYFUNCTION("""COMPUTED_VALUE"""),"Padek Healthcare Pharmacy")</f>
        <v>Padek Healthcare Pharmacy</v>
      </c>
      <c r="D246" s="1" t="str">
        <f ca="1">IFERROR(__xludf.DUMMYFUNCTION("""COMPUTED_VALUE"""),"5403 A Annapolis Road Bladensburg MD 20710")</f>
        <v>5403 A Annapolis Road Bladensburg MD 20710</v>
      </c>
      <c r="E246" s="1" t="str">
        <f ca="1">IFERROR(__xludf.DUMMYFUNCTION("""COMPUTED_VALUE"""),"Yes")</f>
        <v>Yes</v>
      </c>
      <c r="F246" s="1" t="str">
        <f ca="1">IFERROR(__xludf.DUMMYFUNCTION("""COMPUTED_VALUE"""),"Pharmacy")</f>
        <v>Pharmacy</v>
      </c>
      <c r="G246" s="1"/>
      <c r="H246" s="1"/>
      <c r="I246" s="2" t="str">
        <f ca="1">IFERROR(__xludf.DUMMYFUNCTION("""COMPUTED_VALUE"""),"https://k8j5m.app.goo.gl/YFEB")</f>
        <v>https://k8j5m.app.goo.gl/YFEB</v>
      </c>
      <c r="J246" s="1"/>
      <c r="K246" s="1" t="str">
        <f ca="1">IFERROR(__xludf.DUMMYFUNCTION("""COMPUTED_VALUE"""),"301-277-7107")</f>
        <v>301-277-7107</v>
      </c>
      <c r="L246" s="1"/>
      <c r="M246" s="1" t="str">
        <f ca="1">IFERROR(__xludf.DUMMYFUNCTION("""COMPUTED_VALUE"""),"Schedule an appointment using the button below")</f>
        <v>Schedule an appointment using the button below</v>
      </c>
      <c r="N246" s="1"/>
      <c r="O246" s="1"/>
      <c r="P246" s="1" t="str">
        <f ca="1">IFERROR(__xludf.DUMMYFUNCTION("""COMPUTED_VALUE"""),"20710")</f>
        <v>20710</v>
      </c>
      <c r="Q246" s="1" t="str">
        <f ca="1">IFERROR(__xludf.DUMMYFUNCTION("""COMPUTED_VALUE"""),"Yes")</f>
        <v>Yes</v>
      </c>
      <c r="R246" s="1" t="str">
        <f ca="1">IFERROR(__xludf.DUMMYFUNCTION("""COMPUTED_VALUE"""),"Yes")</f>
        <v>Yes</v>
      </c>
      <c r="S246" s="1" t="str">
        <f ca="1">IFERROR(__xludf.DUMMYFUNCTION("""COMPUTED_VALUE"""),"Yes")</f>
        <v>Yes</v>
      </c>
      <c r="T246" s="1" t="str">
        <f ca="1">IFERROR(__xludf.DUMMYFUNCTION("""COMPUTED_VALUE"""),"Yes")</f>
        <v>Yes</v>
      </c>
    </row>
    <row r="247" spans="1:20" ht="13" x14ac:dyDescent="0.6">
      <c r="A247" s="1" t="str">
        <f ca="1">IFERROR(__xludf.DUMMYFUNCTION("""COMPUTED_VALUE"""),"Prince George's")</f>
        <v>Prince George's</v>
      </c>
      <c r="B247" s="1" t="str">
        <f ca="1">IFERROR(__xludf.DUMMYFUNCTION("""COMPUTED_VALUE"""),"Greenbelt")</f>
        <v>Greenbelt</v>
      </c>
      <c r="C247" s="1" t="str">
        <f ca="1">IFERROR(__xludf.DUMMYFUNCTION("""COMPUTED_VALUE"""),"Demmy's Pharmacy")</f>
        <v>Demmy's Pharmacy</v>
      </c>
      <c r="D247" s="1" t="str">
        <f ca="1">IFERROR(__xludf.DUMMYFUNCTION("""COMPUTED_VALUE"""),"5510 Cherrywood Lane Suite B Greenbelt MD 20770")</f>
        <v>5510 Cherrywood Lane Suite B Greenbelt MD 20770</v>
      </c>
      <c r="E247" s="1" t="str">
        <f ca="1">IFERROR(__xludf.DUMMYFUNCTION("""COMPUTED_VALUE"""),"Yes")</f>
        <v>Yes</v>
      </c>
      <c r="F247" s="1" t="str">
        <f ca="1">IFERROR(__xludf.DUMMYFUNCTION("""COMPUTED_VALUE"""),"Pharmacy")</f>
        <v>Pharmacy</v>
      </c>
      <c r="G247" s="1"/>
      <c r="H247" s="1"/>
      <c r="I247" s="2" t="str">
        <f ca="1">IFERROR(__xludf.DUMMYFUNCTION("""COMPUTED_VALUE"""),"https://k8j5m.app.goo.gl/KDXy")</f>
        <v>https://k8j5m.app.goo.gl/KDXy</v>
      </c>
      <c r="J247" s="1"/>
      <c r="K247" s="1" t="str">
        <f ca="1">IFERROR(__xludf.DUMMYFUNCTION("""COMPUTED_VALUE"""),"301-220-3124")</f>
        <v>301-220-3124</v>
      </c>
      <c r="L247" s="1"/>
      <c r="M247" s="1" t="str">
        <f ca="1">IFERROR(__xludf.DUMMYFUNCTION("""COMPUTED_VALUE"""),"Schedule an appointment using the button below")</f>
        <v>Schedule an appointment using the button below</v>
      </c>
      <c r="N247" s="1"/>
      <c r="O247" s="1"/>
      <c r="P247" s="1" t="str">
        <f ca="1">IFERROR(__xludf.DUMMYFUNCTION("""COMPUTED_VALUE"""),"20770")</f>
        <v>20770</v>
      </c>
      <c r="Q247" s="1" t="str">
        <f ca="1">IFERROR(__xludf.DUMMYFUNCTION("""COMPUTED_VALUE"""),"Yes")</f>
        <v>Yes</v>
      </c>
      <c r="R247" s="1" t="str">
        <f ca="1">IFERROR(__xludf.DUMMYFUNCTION("""COMPUTED_VALUE"""),"Yes")</f>
        <v>Yes</v>
      </c>
      <c r="S247" s="1" t="str">
        <f ca="1">IFERROR(__xludf.DUMMYFUNCTION("""COMPUTED_VALUE"""),"Yes")</f>
        <v>Yes</v>
      </c>
      <c r="T247" s="1" t="str">
        <f ca="1">IFERROR(__xludf.DUMMYFUNCTION("""COMPUTED_VALUE"""),"Yes")</f>
        <v>Yes</v>
      </c>
    </row>
    <row r="248" spans="1:20" ht="13" x14ac:dyDescent="0.6">
      <c r="A248" s="1" t="str">
        <f ca="1">IFERROR(__xludf.DUMMYFUNCTION("""COMPUTED_VALUE"""),"Prince George's")</f>
        <v>Prince George's</v>
      </c>
      <c r="B248" s="1" t="str">
        <f ca="1">IFERROR(__xludf.DUMMYFUNCTION("""COMPUTED_VALUE"""),"Hyattsville")</f>
        <v>Hyattsville</v>
      </c>
      <c r="C248" s="1" t="str">
        <f ca="1">IFERROR(__xludf.DUMMYFUNCTION("""COMPUTED_VALUE"""),"Padek Healthcare Pharmacy II")</f>
        <v>Padek Healthcare Pharmacy II</v>
      </c>
      <c r="D248" s="1" t="str">
        <f ca="1">IFERROR(__xludf.DUMMYFUNCTION("""COMPUTED_VALUE"""),"5814 Baltimore Avenue Hyattsville MD 20781")</f>
        <v>5814 Baltimore Avenue Hyattsville MD 20781</v>
      </c>
      <c r="E248" s="1" t="str">
        <f ca="1">IFERROR(__xludf.DUMMYFUNCTION("""COMPUTED_VALUE"""),"Yes")</f>
        <v>Yes</v>
      </c>
      <c r="F248" s="1" t="str">
        <f ca="1">IFERROR(__xludf.DUMMYFUNCTION("""COMPUTED_VALUE"""),"Pharmacy")</f>
        <v>Pharmacy</v>
      </c>
      <c r="G248" s="1"/>
      <c r="H248" s="1"/>
      <c r="I248" s="2" t="str">
        <f ca="1">IFERROR(__xludf.DUMMYFUNCTION("""COMPUTED_VALUE"""),"https://k8j5m.app.goo.gl/DqNe")</f>
        <v>https://k8j5m.app.goo.gl/DqNe</v>
      </c>
      <c r="J248" s="1"/>
      <c r="K248" s="1" t="str">
        <f ca="1">IFERROR(__xludf.DUMMYFUNCTION("""COMPUTED_VALUE"""),"301-637-2954")</f>
        <v>301-637-2954</v>
      </c>
      <c r="L248" s="1"/>
      <c r="M248" s="1" t="str">
        <f ca="1">IFERROR(__xludf.DUMMYFUNCTION("""COMPUTED_VALUE"""),"Schedule an appointment using the button below")</f>
        <v>Schedule an appointment using the button below</v>
      </c>
      <c r="N248" s="1"/>
      <c r="O248" s="1"/>
      <c r="P248" s="1" t="str">
        <f ca="1">IFERROR(__xludf.DUMMYFUNCTION("""COMPUTED_VALUE"""),"20781")</f>
        <v>20781</v>
      </c>
      <c r="Q248" s="1" t="str">
        <f ca="1">IFERROR(__xludf.DUMMYFUNCTION("""COMPUTED_VALUE"""),"Yes")</f>
        <v>Yes</v>
      </c>
      <c r="R248" s="1" t="str">
        <f ca="1">IFERROR(__xludf.DUMMYFUNCTION("""COMPUTED_VALUE"""),"Yes")</f>
        <v>Yes</v>
      </c>
      <c r="S248" s="1" t="str">
        <f ca="1">IFERROR(__xludf.DUMMYFUNCTION("""COMPUTED_VALUE"""),"Yes")</f>
        <v>Yes</v>
      </c>
      <c r="T248" s="1" t="str">
        <f ca="1">IFERROR(__xludf.DUMMYFUNCTION("""COMPUTED_VALUE"""),"Yes")</f>
        <v>Yes</v>
      </c>
    </row>
    <row r="249" spans="1:20" ht="13" x14ac:dyDescent="0.6">
      <c r="A249" s="1" t="str">
        <f ca="1">IFERROR(__xludf.DUMMYFUNCTION("""COMPUTED_VALUE"""),"Prince George's")</f>
        <v>Prince George's</v>
      </c>
      <c r="B249" s="1" t="str">
        <f ca="1">IFERROR(__xludf.DUMMYFUNCTION("""COMPUTED_VALUE"""),"Hyattsville")</f>
        <v>Hyattsville</v>
      </c>
      <c r="C249" s="1" t="str">
        <f ca="1">IFERROR(__xludf.DUMMYFUNCTION("""COMPUTED_VALUE"""),"Safeway Hyattsville")</f>
        <v>Safeway Hyattsville</v>
      </c>
      <c r="D249" s="1" t="str">
        <f ca="1">IFERROR(__xludf.DUMMYFUNCTION("""COMPUTED_VALUE"""),"3702 East-West Highway Hyattsville MD 20782")</f>
        <v>3702 East-West Highway Hyattsville MD 20782</v>
      </c>
      <c r="E249" s="1" t="str">
        <f ca="1">IFERROR(__xludf.DUMMYFUNCTION("""COMPUTED_VALUE"""),"Yes")</f>
        <v>Yes</v>
      </c>
      <c r="F249" s="1" t="str">
        <f ca="1">IFERROR(__xludf.DUMMYFUNCTION("""COMPUTED_VALUE"""),"Pharmacy")</f>
        <v>Pharmacy</v>
      </c>
      <c r="G249" s="1"/>
      <c r="H249" s="1"/>
      <c r="I249" s="2" t="str">
        <f ca="1">IFERROR(__xludf.DUMMYFUNCTION("""COMPUTED_VALUE"""),"https://www.safeway.com/covid-19")</f>
        <v>https://www.safeway.com/covid-19</v>
      </c>
      <c r="J249" s="1"/>
      <c r="K249" s="1"/>
      <c r="L249" s="1"/>
      <c r="M249" s="1" t="str">
        <f ca="1">IFERROR(__xludf.DUMMYFUNCTION("""COMPUTED_VALUE"""),"Schedule an appointment using the button below")</f>
        <v>Schedule an appointment using the button below</v>
      </c>
      <c r="N249" s="1"/>
      <c r="O249" s="1" t="str">
        <f ca="1">IFERROR(__xludf.DUMMYFUNCTION("""COMPUTED_VALUE"""),"Yes")</f>
        <v>Yes</v>
      </c>
      <c r="P249" s="1" t="str">
        <f ca="1">IFERROR(__xludf.DUMMYFUNCTION("""COMPUTED_VALUE"""),"20782")</f>
        <v>20782</v>
      </c>
      <c r="Q249" s="1" t="str">
        <f ca="1">IFERROR(__xludf.DUMMYFUNCTION("""COMPUTED_VALUE"""),"No")</f>
        <v>No</v>
      </c>
      <c r="R249" s="1" t="str">
        <f ca="1">IFERROR(__xludf.DUMMYFUNCTION("""COMPUTED_VALUE"""),"No")</f>
        <v>No</v>
      </c>
      <c r="S249" s="1" t="str">
        <f ca="1">IFERROR(__xludf.DUMMYFUNCTION("""COMPUTED_VALUE"""),"No")</f>
        <v>No</v>
      </c>
      <c r="T249" s="1" t="str">
        <f ca="1">IFERROR(__xludf.DUMMYFUNCTION("""COMPUTED_VALUE"""),"Yes")</f>
        <v>Yes</v>
      </c>
    </row>
    <row r="250" spans="1:20" ht="13" x14ac:dyDescent="0.6">
      <c r="A250" s="1" t="str">
        <f ca="1">IFERROR(__xludf.DUMMYFUNCTION("""COMPUTED_VALUE"""),"Prince George's")</f>
        <v>Prince George's</v>
      </c>
      <c r="B250" s="1" t="str">
        <f ca="1">IFERROR(__xludf.DUMMYFUNCTION("""COMPUTED_VALUE"""),"Laurel")</f>
        <v>Laurel</v>
      </c>
      <c r="C250" s="1" t="str">
        <f ca="1">IFERROR(__xludf.DUMMYFUNCTION("""COMPUTED_VALUE"""),"Weis Pharmacy #45")</f>
        <v>Weis Pharmacy #45</v>
      </c>
      <c r="D250" s="1" t="str">
        <f ca="1">IFERROR(__xludf.DUMMYFUNCTION("""COMPUTED_VALUE"""),"9250 Baltimore Wash Blvd Laurel, MD 20723")</f>
        <v>9250 Baltimore Wash Blvd Laurel, MD 20723</v>
      </c>
      <c r="E250" s="1" t="str">
        <f ca="1">IFERROR(__xludf.DUMMYFUNCTION("""COMPUTED_VALUE"""),"Yes")</f>
        <v>Yes</v>
      </c>
      <c r="F250" s="1" t="str">
        <f ca="1">IFERROR(__xludf.DUMMYFUNCTION("""COMPUTED_VALUE"""),"Pharmacy")</f>
        <v>Pharmacy</v>
      </c>
      <c r="G250" s="1"/>
      <c r="H250" s="1"/>
      <c r="I250" s="2" t="str">
        <f ca="1">IFERROR(__xludf.DUMMYFUNCTION("""COMPUTED_VALUE"""),"https://www.weismarkets.com/pharmacy-services")</f>
        <v>https://www.weismarkets.com/pharmacy-services</v>
      </c>
      <c r="J250" s="1"/>
      <c r="K250" s="1"/>
      <c r="L250" s="1"/>
      <c r="M250" s="1" t="str">
        <f ca="1">IFERROR(__xludf.DUMMYFUNCTION("""COMPUTED_VALUE"""),"Schedule an appointment using the button below")</f>
        <v>Schedule an appointment using the button below</v>
      </c>
      <c r="N250" s="1"/>
      <c r="O250" s="1" t="str">
        <f ca="1">IFERROR(__xludf.DUMMYFUNCTION("""COMPUTED_VALUE"""),"Yes")</f>
        <v>Yes</v>
      </c>
      <c r="P250" s="1" t="str">
        <f ca="1">IFERROR(__xludf.DUMMYFUNCTION("""COMPUTED_VALUE"""),"20723")</f>
        <v>20723</v>
      </c>
      <c r="Q250" s="1" t="str">
        <f ca="1">IFERROR(__xludf.DUMMYFUNCTION("""COMPUTED_VALUE"""),"Yes")</f>
        <v>Yes</v>
      </c>
      <c r="R250" s="1" t="str">
        <f ca="1">IFERROR(__xludf.DUMMYFUNCTION("""COMPUTED_VALUE"""),"Yes")</f>
        <v>Yes</v>
      </c>
      <c r="S250" s="1" t="str">
        <f ca="1">IFERROR(__xludf.DUMMYFUNCTION("""COMPUTED_VALUE"""),"Yes")</f>
        <v>Yes</v>
      </c>
      <c r="T250" s="1" t="str">
        <f ca="1">IFERROR(__xludf.DUMMYFUNCTION("""COMPUTED_VALUE"""),"Yes")</f>
        <v>Yes</v>
      </c>
    </row>
    <row r="251" spans="1:20" ht="13" x14ac:dyDescent="0.6">
      <c r="A251" s="1" t="str">
        <f ca="1">IFERROR(__xludf.DUMMYFUNCTION("""COMPUTED_VALUE"""),"Prince George's")</f>
        <v>Prince George's</v>
      </c>
      <c r="B251" s="1" t="str">
        <f ca="1">IFERROR(__xludf.DUMMYFUNCTION("""COMPUTED_VALUE"""),"Laurel")</f>
        <v>Laurel</v>
      </c>
      <c r="C251" s="1" t="str">
        <f ca="1">IFERROR(__xludf.DUMMYFUNCTION("""COMPUTED_VALUE"""),"Weis Pharmacy #122")</f>
        <v>Weis Pharmacy #122</v>
      </c>
      <c r="D251" s="1" t="str">
        <f ca="1">IFERROR(__xludf.DUMMYFUNCTION("""COMPUTED_VALUE"""),"9270 All Saints Road Laurel, MD 20707")</f>
        <v>9270 All Saints Road Laurel, MD 20707</v>
      </c>
      <c r="E251" s="1" t="str">
        <f ca="1">IFERROR(__xludf.DUMMYFUNCTION("""COMPUTED_VALUE"""),"Yes")</f>
        <v>Yes</v>
      </c>
      <c r="F251" s="1" t="str">
        <f ca="1">IFERROR(__xludf.DUMMYFUNCTION("""COMPUTED_VALUE"""),"Pharmacy")</f>
        <v>Pharmacy</v>
      </c>
      <c r="G251" s="1"/>
      <c r="H251" s="1"/>
      <c r="I251" s="2" t="str">
        <f ca="1">IFERROR(__xludf.DUMMYFUNCTION("""COMPUTED_VALUE"""),"https://www.weismarkets.com/pharmacy-services")</f>
        <v>https://www.weismarkets.com/pharmacy-services</v>
      </c>
      <c r="J251" s="1"/>
      <c r="K251" s="1"/>
      <c r="L251" s="1"/>
      <c r="M251" s="1" t="str">
        <f ca="1">IFERROR(__xludf.DUMMYFUNCTION("""COMPUTED_VALUE"""),"Schedule an appointment using the button below")</f>
        <v>Schedule an appointment using the button below</v>
      </c>
      <c r="N251" s="1"/>
      <c r="O251" s="1" t="str">
        <f ca="1">IFERROR(__xludf.DUMMYFUNCTION("""COMPUTED_VALUE"""),"Yes")</f>
        <v>Yes</v>
      </c>
      <c r="P251" s="1" t="str">
        <f ca="1">IFERROR(__xludf.DUMMYFUNCTION("""COMPUTED_VALUE"""),"20707")</f>
        <v>20707</v>
      </c>
      <c r="Q251" s="1" t="str">
        <f ca="1">IFERROR(__xludf.DUMMYFUNCTION("""COMPUTED_VALUE"""),"Yes")</f>
        <v>Yes</v>
      </c>
      <c r="R251" s="1" t="str">
        <f ca="1">IFERROR(__xludf.DUMMYFUNCTION("""COMPUTED_VALUE"""),"Yes")</f>
        <v>Yes</v>
      </c>
      <c r="S251" s="1" t="str">
        <f ca="1">IFERROR(__xludf.DUMMYFUNCTION("""COMPUTED_VALUE"""),"Yes")</f>
        <v>Yes</v>
      </c>
      <c r="T251" s="1" t="str">
        <f ca="1">IFERROR(__xludf.DUMMYFUNCTION("""COMPUTED_VALUE"""),"Yes")</f>
        <v>Yes</v>
      </c>
    </row>
    <row r="252" spans="1:20" ht="13" x14ac:dyDescent="0.6">
      <c r="A252" s="1" t="str">
        <f ca="1">IFERROR(__xludf.DUMMYFUNCTION("""COMPUTED_VALUE"""),"Prince George's")</f>
        <v>Prince George's</v>
      </c>
      <c r="B252" s="1" t="str">
        <f ca="1">IFERROR(__xludf.DUMMYFUNCTION("""COMPUTED_VALUE"""),"Lanham")</f>
        <v>Lanham</v>
      </c>
      <c r="C252" s="1" t="str">
        <f ca="1">IFERROR(__xludf.DUMMYFUNCTION("""COMPUTED_VALUE"""),"Wegman's Pharmacy #040 Woodmore")</f>
        <v>Wegman's Pharmacy #040 Woodmore</v>
      </c>
      <c r="D252" s="1" t="str">
        <f ca="1">IFERROR(__xludf.DUMMYFUNCTION("""COMPUTED_VALUE"""),"9001 McHugh Drive Lanham, MD 20706")</f>
        <v>9001 McHugh Drive Lanham, MD 20706</v>
      </c>
      <c r="E252" s="1" t="str">
        <f ca="1">IFERROR(__xludf.DUMMYFUNCTION("""COMPUTED_VALUE"""),"Yes")</f>
        <v>Yes</v>
      </c>
      <c r="F252" s="1" t="str">
        <f ca="1">IFERROR(__xludf.DUMMYFUNCTION("""COMPUTED_VALUE"""),"Pharmacy")</f>
        <v>Pharmacy</v>
      </c>
      <c r="G252" s="1"/>
      <c r="H252" s="1"/>
      <c r="I252" s="2" t="str">
        <f ca="1">IFERROR(__xludf.DUMMYFUNCTION("""COMPUTED_VALUE"""),"https://www.wegmans.com/covid-vaccine-registration/")</f>
        <v>https://www.wegmans.com/covid-vaccine-registration/</v>
      </c>
      <c r="J252" s="1"/>
      <c r="K252" s="1"/>
      <c r="L252" s="1"/>
      <c r="M252" s="1" t="str">
        <f ca="1">IFERROR(__xludf.DUMMYFUNCTION("""COMPUTED_VALUE"""),"Schedule an appointment using the button below")</f>
        <v>Schedule an appointment using the button below</v>
      </c>
      <c r="N252" s="1"/>
      <c r="O252" s="1" t="str">
        <f ca="1">IFERROR(__xludf.DUMMYFUNCTION("""COMPUTED_VALUE"""),"Yes")</f>
        <v>Yes</v>
      </c>
      <c r="P252" s="1" t="str">
        <f ca="1">IFERROR(__xludf.DUMMYFUNCTION("""COMPUTED_VALUE"""),"20706")</f>
        <v>20706</v>
      </c>
      <c r="Q252" s="1" t="str">
        <f ca="1">IFERROR(__xludf.DUMMYFUNCTION("""COMPUTED_VALUE"""),"Yes")</f>
        <v>Yes</v>
      </c>
      <c r="R252" s="1" t="str">
        <f ca="1">IFERROR(__xludf.DUMMYFUNCTION("""COMPUTED_VALUE"""),"Yes")</f>
        <v>Yes</v>
      </c>
      <c r="S252" s="1" t="str">
        <f ca="1">IFERROR(__xludf.DUMMYFUNCTION("""COMPUTED_VALUE"""),"No")</f>
        <v>No</v>
      </c>
      <c r="T252" s="1" t="str">
        <f ca="1">IFERROR(__xludf.DUMMYFUNCTION("""COMPUTED_VALUE"""),"Yes")</f>
        <v>Yes</v>
      </c>
    </row>
    <row r="253" spans="1:20" ht="13" x14ac:dyDescent="0.6">
      <c r="A253" s="1" t="str">
        <f ca="1">IFERROR(__xludf.DUMMYFUNCTION("""COMPUTED_VALUE"""),"Prince George's")</f>
        <v>Prince George's</v>
      </c>
      <c r="B253" s="1" t="str">
        <f ca="1">IFERROR(__xludf.DUMMYFUNCTION("""COMPUTED_VALUE"""),"Laurel")</f>
        <v>Laurel</v>
      </c>
      <c r="C253" s="1" t="str">
        <f ca="1">IFERROR(__xludf.DUMMYFUNCTION("""COMPUTED_VALUE"""),"Giant Food Laurel")</f>
        <v>Giant Food Laurel</v>
      </c>
      <c r="D253" s="1" t="str">
        <f ca="1">IFERROR(__xludf.DUMMYFUNCTION("""COMPUTED_VALUE"""),"1009 Fairlawn Street Laurel, MD 20707")</f>
        <v>1009 Fairlawn Street Laurel, MD 20707</v>
      </c>
      <c r="E253" s="1" t="str">
        <f ca="1">IFERROR(__xludf.DUMMYFUNCTION("""COMPUTED_VALUE"""),"Yes")</f>
        <v>Yes</v>
      </c>
      <c r="F253" s="1" t="str">
        <f ca="1">IFERROR(__xludf.DUMMYFUNCTION("""COMPUTED_VALUE"""),"Pharmacy")</f>
        <v>Pharmacy</v>
      </c>
      <c r="G253" s="1"/>
      <c r="H253" s="1" t="str">
        <f ca="1">IFERROR(__xludf.DUMMYFUNCTION("""COMPUTED_VALUE"""),"Sun 10am - 5pm, Mon - Fri 9am - 9pm, Sat 9am - 6pm")</f>
        <v>Sun 10am - 5pm, Mon - Fri 9am - 9pm, Sat 9am - 6pm</v>
      </c>
      <c r="I253" s="2" t="str">
        <f ca="1">IFERROR(__xludf.DUMMYFUNCTION("""COMPUTED_VALUE"""),"https://giantfoodsched.rxtouch.com/rbssched/program/wellness/Patient/Advisory")</f>
        <v>https://giantfoodsched.rxtouch.com/rbssched/program/wellness/Patient/Advisory</v>
      </c>
      <c r="J253" s="1"/>
      <c r="K253" s="1" t="str">
        <f ca="1">IFERROR(__xludf.DUMMYFUNCTION("""COMPUTED_VALUE"""),"301-498-9337")</f>
        <v>301-498-9337</v>
      </c>
      <c r="L253" s="1"/>
      <c r="M253" s="1" t="str">
        <f ca="1">IFERROR(__xludf.DUMMYFUNCTION("""COMPUTED_VALUE"""),"Schedule an appointment using the button below")</f>
        <v>Schedule an appointment using the button below</v>
      </c>
      <c r="N253" s="1"/>
      <c r="O253" s="1" t="str">
        <f ca="1">IFERROR(__xludf.DUMMYFUNCTION("""COMPUTED_VALUE"""),"Yes")</f>
        <v>Yes</v>
      </c>
      <c r="P253" s="1" t="str">
        <f ca="1">IFERROR(__xludf.DUMMYFUNCTION("""COMPUTED_VALUE"""),"20707")</f>
        <v>20707</v>
      </c>
      <c r="Q253" s="1" t="str">
        <f ca="1">IFERROR(__xludf.DUMMYFUNCTION("""COMPUTED_VALUE"""),"Yes")</f>
        <v>Yes</v>
      </c>
      <c r="R253" s="1" t="str">
        <f ca="1">IFERROR(__xludf.DUMMYFUNCTION("""COMPUTED_VALUE"""),"Yes")</f>
        <v>Yes</v>
      </c>
      <c r="S253" s="1" t="str">
        <f ca="1">IFERROR(__xludf.DUMMYFUNCTION("""COMPUTED_VALUE"""),"No")</f>
        <v>No</v>
      </c>
      <c r="T253" s="1" t="str">
        <f ca="1">IFERROR(__xludf.DUMMYFUNCTION("""COMPUTED_VALUE"""),"Yes")</f>
        <v>Yes</v>
      </c>
    </row>
    <row r="254" spans="1:20" ht="13" x14ac:dyDescent="0.6">
      <c r="A254" s="1" t="str">
        <f ca="1">IFERROR(__xludf.DUMMYFUNCTION("""COMPUTED_VALUE"""),"Prince George's")</f>
        <v>Prince George's</v>
      </c>
      <c r="B254" s="1" t="str">
        <f ca="1">IFERROR(__xludf.DUMMYFUNCTION("""COMPUTED_VALUE"""),"Riverdale")</f>
        <v>Riverdale</v>
      </c>
      <c r="C254" s="1" t="str">
        <f ca="1">IFERROR(__xludf.DUMMYFUNCTION("""COMPUTED_VALUE"""),"CVS Riverdale")</f>
        <v>CVS Riverdale</v>
      </c>
      <c r="D254" s="1" t="str">
        <f ca="1">IFERROR(__xludf.DUMMYFUNCTION("""COMPUTED_VALUE"""),"5707 Riverdale Road, Riverdale, MD 20737")</f>
        <v>5707 Riverdale Road, Riverdale, MD 20737</v>
      </c>
      <c r="E254" s="1" t="str">
        <f ca="1">IFERROR(__xludf.DUMMYFUNCTION("""COMPUTED_VALUE"""),"Yes")</f>
        <v>Yes</v>
      </c>
      <c r="F254" s="1" t="str">
        <f ca="1">IFERROR(__xludf.DUMMYFUNCTION("""COMPUTED_VALUE"""),"Pharmacy")</f>
        <v>Pharmacy</v>
      </c>
      <c r="G254" s="1"/>
      <c r="H254" s="1"/>
      <c r="I254" s="2" t="str">
        <f ca="1">IFERROR(__xludf.DUMMYFUNCTION("""COMPUTED_VALUE"""),"https://www.cvs.com/immunizations/covid-19-vaccine")</f>
        <v>https://www.cvs.com/immunizations/covid-19-vaccine</v>
      </c>
      <c r="J254" s="1" t="str">
        <f ca="1">IFERROR(__xludf.DUMMYFUNCTION("""COMPUTED_VALUE"""),"Yes")</f>
        <v>Yes</v>
      </c>
      <c r="K254" s="1" t="str">
        <f ca="1">IFERROR(__xludf.DUMMYFUNCTION("""COMPUTED_VALUE"""),"800-746-7287")</f>
        <v>800-746-7287</v>
      </c>
      <c r="L254" s="1"/>
      <c r="M254" s="1" t="str">
        <f ca="1">IFERROR(__xludf.DUMMYFUNCTION("""COMPUTED_VALUE"""),"Schedule an appointment using the button below")</f>
        <v>Schedule an appointment using the button below</v>
      </c>
      <c r="N254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54" s="1" t="str">
        <f ca="1">IFERROR(__xludf.DUMMYFUNCTION("""COMPUTED_VALUE"""),"Yes")</f>
        <v>Yes</v>
      </c>
      <c r="P254" s="1" t="str">
        <f ca="1">IFERROR(__xludf.DUMMYFUNCTION("""COMPUTED_VALUE"""),"20737")</f>
        <v>20737</v>
      </c>
      <c r="Q254" s="1" t="str">
        <f ca="1">IFERROR(__xludf.DUMMYFUNCTION("""COMPUTED_VALUE"""),"Yes")</f>
        <v>Yes</v>
      </c>
      <c r="R254" s="1" t="str">
        <f ca="1">IFERROR(__xludf.DUMMYFUNCTION("""COMPUTED_VALUE"""),"No")</f>
        <v>No</v>
      </c>
      <c r="S254" s="1" t="str">
        <f ca="1">IFERROR(__xludf.DUMMYFUNCTION("""COMPUTED_VALUE"""),"No")</f>
        <v>No</v>
      </c>
      <c r="T254" s="1" t="str">
        <f ca="1">IFERROR(__xludf.DUMMYFUNCTION("""COMPUTED_VALUE"""),"Yes")</f>
        <v>Yes</v>
      </c>
    </row>
    <row r="255" spans="1:20" ht="13" x14ac:dyDescent="0.6">
      <c r="A255" s="1" t="str">
        <f ca="1">IFERROR(__xludf.DUMMYFUNCTION("""COMPUTED_VALUE"""),"Prince George's")</f>
        <v>Prince George's</v>
      </c>
      <c r="B255" s="1" t="str">
        <f ca="1">IFERROR(__xludf.DUMMYFUNCTION("""COMPUTED_VALUE"""),"Bowie")</f>
        <v>Bowie</v>
      </c>
      <c r="C255" s="1" t="str">
        <f ca="1">IFERROR(__xludf.DUMMYFUNCTION("""COMPUTED_VALUE"""),"CVS Bowie")</f>
        <v>CVS Bowie</v>
      </c>
      <c r="D255" s="1" t="str">
        <f ca="1">IFERROR(__xludf.DUMMYFUNCTION("""COMPUTED_VALUE"""),"6920 Laurel-Bowie Road, Bowie, MD 20715")</f>
        <v>6920 Laurel-Bowie Road, Bowie, MD 20715</v>
      </c>
      <c r="E255" s="1" t="str">
        <f ca="1">IFERROR(__xludf.DUMMYFUNCTION("""COMPUTED_VALUE"""),"Yes")</f>
        <v>Yes</v>
      </c>
      <c r="F255" s="1" t="str">
        <f ca="1">IFERROR(__xludf.DUMMYFUNCTION("""COMPUTED_VALUE"""),"Pharmacy")</f>
        <v>Pharmacy</v>
      </c>
      <c r="G255" s="1"/>
      <c r="H255" s="1"/>
      <c r="I255" s="2" t="str">
        <f ca="1">IFERROR(__xludf.DUMMYFUNCTION("""COMPUTED_VALUE"""),"https://www.cvs.com/immunizations/covid-19-vaccine")</f>
        <v>https://www.cvs.com/immunizations/covid-19-vaccine</v>
      </c>
      <c r="J255" s="1" t="str">
        <f ca="1">IFERROR(__xludf.DUMMYFUNCTION("""COMPUTED_VALUE"""),"Yes")</f>
        <v>Yes</v>
      </c>
      <c r="K255" s="1" t="str">
        <f ca="1">IFERROR(__xludf.DUMMYFUNCTION("""COMPUTED_VALUE"""),"800-746-7287")</f>
        <v>800-746-7287</v>
      </c>
      <c r="L255" s="1"/>
      <c r="M255" s="1" t="str">
        <f ca="1">IFERROR(__xludf.DUMMYFUNCTION("""COMPUTED_VALUE"""),"Schedule an appointment using the button below")</f>
        <v>Schedule an appointment using the button below</v>
      </c>
      <c r="N255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55" s="1" t="str">
        <f ca="1">IFERROR(__xludf.DUMMYFUNCTION("""COMPUTED_VALUE"""),"Yes")</f>
        <v>Yes</v>
      </c>
      <c r="P255" s="1" t="str">
        <f ca="1">IFERROR(__xludf.DUMMYFUNCTION("""COMPUTED_VALUE"""),"20715")</f>
        <v>20715</v>
      </c>
      <c r="Q255" s="1" t="str">
        <f ca="1">IFERROR(__xludf.DUMMYFUNCTION("""COMPUTED_VALUE"""),"Yes")</f>
        <v>Yes</v>
      </c>
      <c r="R255" s="1" t="str">
        <f ca="1">IFERROR(__xludf.DUMMYFUNCTION("""COMPUTED_VALUE"""),"No")</f>
        <v>No</v>
      </c>
      <c r="S255" s="1" t="str">
        <f ca="1">IFERROR(__xludf.DUMMYFUNCTION("""COMPUTED_VALUE"""),"No")</f>
        <v>No</v>
      </c>
      <c r="T255" s="1" t="str">
        <f ca="1">IFERROR(__xludf.DUMMYFUNCTION("""COMPUTED_VALUE"""),"Yes")</f>
        <v>Yes</v>
      </c>
    </row>
    <row r="256" spans="1:20" ht="13" x14ac:dyDescent="0.6">
      <c r="A256" s="1" t="str">
        <f ca="1">IFERROR(__xludf.DUMMYFUNCTION("""COMPUTED_VALUE"""),"Prince George's")</f>
        <v>Prince George's</v>
      </c>
      <c r="B256" s="1" t="str">
        <f ca="1">IFERROR(__xludf.DUMMYFUNCTION("""COMPUTED_VALUE"""),"Upper Marlboro")</f>
        <v>Upper Marlboro</v>
      </c>
      <c r="C256" s="1" t="str">
        <f ca="1">IFERROR(__xludf.DUMMYFUNCTION("""COMPUTED_VALUE"""),"CVS Upper Marlboro")</f>
        <v>CVS Upper Marlboro</v>
      </c>
      <c r="D256" s="1" t="str">
        <f ca="1">IFERROR(__xludf.DUMMYFUNCTION("""COMPUTED_VALUE"""),"7600 SE Crain Highway, Upper Marlboro, MD 20772")</f>
        <v>7600 SE Crain Highway, Upper Marlboro, MD 20772</v>
      </c>
      <c r="E256" s="1" t="str">
        <f ca="1">IFERROR(__xludf.DUMMYFUNCTION("""COMPUTED_VALUE"""),"Yes")</f>
        <v>Yes</v>
      </c>
      <c r="F256" s="1" t="str">
        <f ca="1">IFERROR(__xludf.DUMMYFUNCTION("""COMPUTED_VALUE"""),"Pharmacy")</f>
        <v>Pharmacy</v>
      </c>
      <c r="G256" s="1"/>
      <c r="H256" s="1"/>
      <c r="I256" s="2" t="str">
        <f ca="1">IFERROR(__xludf.DUMMYFUNCTION("""COMPUTED_VALUE"""),"https://www.cvs.com/immunizations/covid-19-vaccine")</f>
        <v>https://www.cvs.com/immunizations/covid-19-vaccine</v>
      </c>
      <c r="J256" s="1" t="str">
        <f ca="1">IFERROR(__xludf.DUMMYFUNCTION("""COMPUTED_VALUE"""),"Yes")</f>
        <v>Yes</v>
      </c>
      <c r="K256" s="1" t="str">
        <f ca="1">IFERROR(__xludf.DUMMYFUNCTION("""COMPUTED_VALUE"""),"800-746-7287")</f>
        <v>800-746-7287</v>
      </c>
      <c r="L256" s="1"/>
      <c r="M256" s="1" t="str">
        <f ca="1">IFERROR(__xludf.DUMMYFUNCTION("""COMPUTED_VALUE"""),"Schedule an appointment using the button below")</f>
        <v>Schedule an appointment using the button below</v>
      </c>
      <c r="N256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56" s="1" t="str">
        <f ca="1">IFERROR(__xludf.DUMMYFUNCTION("""COMPUTED_VALUE"""),"Yes")</f>
        <v>Yes</v>
      </c>
      <c r="P256" s="1" t="str">
        <f ca="1">IFERROR(__xludf.DUMMYFUNCTION("""COMPUTED_VALUE"""),"20772")</f>
        <v>20772</v>
      </c>
      <c r="Q256" s="1" t="str">
        <f ca="1">IFERROR(__xludf.DUMMYFUNCTION("""COMPUTED_VALUE"""),"Yes")</f>
        <v>Yes</v>
      </c>
      <c r="R256" s="1" t="str">
        <f ca="1">IFERROR(__xludf.DUMMYFUNCTION("""COMPUTED_VALUE"""),"No")</f>
        <v>No</v>
      </c>
      <c r="S256" s="1" t="str">
        <f ca="1">IFERROR(__xludf.DUMMYFUNCTION("""COMPUTED_VALUE"""),"No")</f>
        <v>No</v>
      </c>
      <c r="T256" s="1" t="str">
        <f ca="1">IFERROR(__xludf.DUMMYFUNCTION("""COMPUTED_VALUE"""),"Yes")</f>
        <v>Yes</v>
      </c>
    </row>
    <row r="257" spans="1:20" ht="13" x14ac:dyDescent="0.6">
      <c r="A257" s="1" t="str">
        <f ca="1">IFERROR(__xludf.DUMMYFUNCTION("""COMPUTED_VALUE"""),"Prince George's")</f>
        <v>Prince George's</v>
      </c>
      <c r="B257" s="1" t="str">
        <f ca="1">IFERROR(__xludf.DUMMYFUNCTION("""COMPUTED_VALUE"""),"Laurel")</f>
        <v>Laurel</v>
      </c>
      <c r="C257" s="1" t="str">
        <f ca="1">IFERROR(__xludf.DUMMYFUNCTION("""COMPUTED_VALUE"""),"Laurel Main Street Pharmacy")</f>
        <v>Laurel Main Street Pharmacy</v>
      </c>
      <c r="D257" s="1" t="str">
        <f ca="1">IFERROR(__xludf.DUMMYFUNCTION("""COMPUTED_VALUE"""),"667 Main Street, Laurel, MD, 20707")</f>
        <v>667 Main Street, Laurel, MD, 20707</v>
      </c>
      <c r="E257" s="1" t="str">
        <f ca="1">IFERROR(__xludf.DUMMYFUNCTION("""COMPUTED_VALUE"""),"Yes")</f>
        <v>Yes</v>
      </c>
      <c r="F257" s="1" t="str">
        <f ca="1">IFERROR(__xludf.DUMMYFUNCTION("""COMPUTED_VALUE"""),"Pharmacy")</f>
        <v>Pharmacy</v>
      </c>
      <c r="G257" s="1"/>
      <c r="H257" s="1"/>
      <c r="I257" s="2" t="str">
        <f ca="1">IFERROR(__xludf.DUMMYFUNCTION("""COMPUTED_VALUE"""),"https://mainstreetrx.timetap.com/#/")</f>
        <v>https://mainstreetrx.timetap.com/#/</v>
      </c>
      <c r="J257" s="1" t="str">
        <f ca="1">IFERROR(__xludf.DUMMYFUNCTION("""COMPUTED_VALUE"""),"Yes")</f>
        <v>Yes</v>
      </c>
      <c r="K257" s="1"/>
      <c r="L257" s="1"/>
      <c r="M257" s="1" t="str">
        <f ca="1">IFERROR(__xludf.DUMMYFUNCTION("""COMPUTED_VALUE"""),"Schedule an appointment using the button below")</f>
        <v>Schedule an appointment using the button below</v>
      </c>
      <c r="N257" s="1"/>
      <c r="O257" s="1"/>
      <c r="P257" s="1" t="str">
        <f ca="1">IFERROR(__xludf.DUMMYFUNCTION("""COMPUTED_VALUE"""),"20707")</f>
        <v>20707</v>
      </c>
      <c r="Q257" s="1" t="str">
        <f ca="1">IFERROR(__xludf.DUMMYFUNCTION("""COMPUTED_VALUE"""),"Yes")</f>
        <v>Yes</v>
      </c>
      <c r="R257" s="1" t="str">
        <f ca="1">IFERROR(__xludf.DUMMYFUNCTION("""COMPUTED_VALUE"""),"Yes")</f>
        <v>Yes</v>
      </c>
      <c r="S257" s="1" t="str">
        <f ca="1">IFERROR(__xludf.DUMMYFUNCTION("""COMPUTED_VALUE"""),"Yes")</f>
        <v>Yes</v>
      </c>
      <c r="T257" s="1" t="str">
        <f ca="1">IFERROR(__xludf.DUMMYFUNCTION("""COMPUTED_VALUE"""),"Yes")</f>
        <v>Yes</v>
      </c>
    </row>
    <row r="258" spans="1:20" ht="13" x14ac:dyDescent="0.6">
      <c r="A258" s="1" t="str">
        <f ca="1">IFERROR(__xludf.DUMMYFUNCTION("""COMPUTED_VALUE"""),"Prince George's")</f>
        <v>Prince George's</v>
      </c>
      <c r="B258" s="1" t="str">
        <f ca="1">IFERROR(__xludf.DUMMYFUNCTION("""COMPUTED_VALUE"""),"Seabrook")</f>
        <v>Seabrook</v>
      </c>
      <c r="C258" s="1" t="str">
        <f ca="1">IFERROR(__xludf.DUMMYFUNCTION("""COMPUTED_VALUE"""),"CVS Seabrook")</f>
        <v>CVS Seabrook</v>
      </c>
      <c r="D258" s="1" t="str">
        <f ca="1">IFERROR(__xludf.DUMMYFUNCTION("""COMPUTED_VALUE"""),"9420 Lanham-Severn Road Seabrook, MD 20706")</f>
        <v>9420 Lanham-Severn Road Seabrook, MD 20706</v>
      </c>
      <c r="E258" s="1" t="str">
        <f ca="1">IFERROR(__xludf.DUMMYFUNCTION("""COMPUTED_VALUE"""),"Yes")</f>
        <v>Yes</v>
      </c>
      <c r="F258" s="1" t="str">
        <f ca="1">IFERROR(__xludf.DUMMYFUNCTION("""COMPUTED_VALUE"""),"Pharmacy")</f>
        <v>Pharmacy</v>
      </c>
      <c r="G258" s="1"/>
      <c r="H258" s="1"/>
      <c r="I258" s="2" t="str">
        <f ca="1">IFERROR(__xludf.DUMMYFUNCTION("""COMPUTED_VALUE"""),"https://www.cvs.com/immunizations/covid-19-vaccine")</f>
        <v>https://www.cvs.com/immunizations/covid-19-vaccine</v>
      </c>
      <c r="J258" s="1" t="str">
        <f ca="1">IFERROR(__xludf.DUMMYFUNCTION("""COMPUTED_VALUE"""),"Yes")</f>
        <v>Yes</v>
      </c>
      <c r="K258" s="1" t="str">
        <f ca="1">IFERROR(__xludf.DUMMYFUNCTION("""COMPUTED_VALUE"""),"800-746-7287")</f>
        <v>800-746-7287</v>
      </c>
      <c r="L258" s="1"/>
      <c r="M258" s="1" t="str">
        <f ca="1">IFERROR(__xludf.DUMMYFUNCTION("""COMPUTED_VALUE"""),"Schedule an appointment using the button below")</f>
        <v>Schedule an appointment using the button below</v>
      </c>
      <c r="N258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58" s="1" t="str">
        <f ca="1">IFERROR(__xludf.DUMMYFUNCTION("""COMPUTED_VALUE"""),"Yes")</f>
        <v>Yes</v>
      </c>
      <c r="P258" s="1" t="str">
        <f ca="1">IFERROR(__xludf.DUMMYFUNCTION("""COMPUTED_VALUE"""),"20706")</f>
        <v>20706</v>
      </c>
      <c r="Q258" s="1" t="str">
        <f ca="1">IFERROR(__xludf.DUMMYFUNCTION("""COMPUTED_VALUE"""),"Yes")</f>
        <v>Yes</v>
      </c>
      <c r="R258" s="1" t="str">
        <f ca="1">IFERROR(__xludf.DUMMYFUNCTION("""COMPUTED_VALUE"""),"No")</f>
        <v>No</v>
      </c>
      <c r="S258" s="1" t="str">
        <f ca="1">IFERROR(__xludf.DUMMYFUNCTION("""COMPUTED_VALUE"""),"No")</f>
        <v>No</v>
      </c>
      <c r="T258" s="1" t="str">
        <f ca="1">IFERROR(__xludf.DUMMYFUNCTION("""COMPUTED_VALUE"""),"Yes")</f>
        <v>Yes</v>
      </c>
    </row>
    <row r="259" spans="1:20" ht="13" x14ac:dyDescent="0.6">
      <c r="A259" s="1" t="str">
        <f ca="1">IFERROR(__xludf.DUMMYFUNCTION("""COMPUTED_VALUE"""),"Prince George's")</f>
        <v>Prince George's</v>
      </c>
      <c r="B259" s="1" t="str">
        <f ca="1">IFERROR(__xludf.DUMMYFUNCTION("""COMPUTED_VALUE"""),"Laurel")</f>
        <v>Laurel</v>
      </c>
      <c r="C259" s="1" t="str">
        <f ca="1">IFERROR(__xludf.DUMMYFUNCTION("""COMPUTED_VALUE"""),"Harris Teeter Laurel")</f>
        <v>Harris Teeter Laurel</v>
      </c>
      <c r="D259" s="1" t="str">
        <f ca="1">IFERROR(__xludf.DUMMYFUNCTION("""COMPUTED_VALUE"""),"14702 Baltimore Ave Laurel, MD 20707")</f>
        <v>14702 Baltimore Ave Laurel, MD 20707</v>
      </c>
      <c r="E259" s="1" t="str">
        <f ca="1">IFERROR(__xludf.DUMMYFUNCTION("""COMPUTED_VALUE"""),"Yes")</f>
        <v>Yes</v>
      </c>
      <c r="F259" s="1" t="str">
        <f ca="1">IFERROR(__xludf.DUMMYFUNCTION("""COMPUTED_VALUE"""),"Pharmacy")</f>
        <v>Pharmacy</v>
      </c>
      <c r="G259" s="1"/>
      <c r="H259" s="1"/>
      <c r="I259" s="2" t="str">
        <f ca="1">IFERROR(__xludf.DUMMYFUNCTION("""COMPUTED_VALUE"""),"https://www.harristeeterpharmacy.com/rx/covid-eligibility")</f>
        <v>https://www.harristeeterpharmacy.com/rx/covid-eligibility</v>
      </c>
      <c r="J259" s="1" t="str">
        <f ca="1">IFERROR(__xludf.DUMMYFUNCTION("""COMPUTED_VALUE"""),"Yes")</f>
        <v>Yes</v>
      </c>
      <c r="K259" s="1"/>
      <c r="L259" s="1"/>
      <c r="M259" s="1" t="str">
        <f ca="1">IFERROR(__xludf.DUMMYFUNCTION("""COMPUTED_VALUE"""),"Schedule an appointment using the button below")</f>
        <v>Schedule an appointment using the button below</v>
      </c>
      <c r="N259" s="1"/>
      <c r="O259" s="1"/>
      <c r="P259" s="1" t="str">
        <f ca="1">IFERROR(__xludf.DUMMYFUNCTION("""COMPUTED_VALUE"""),"20707")</f>
        <v>20707</v>
      </c>
      <c r="Q259" s="1" t="str">
        <f ca="1">IFERROR(__xludf.DUMMYFUNCTION("""COMPUTED_VALUE"""),"Yes")</f>
        <v>Yes</v>
      </c>
      <c r="R259" s="1" t="str">
        <f ca="1">IFERROR(__xludf.DUMMYFUNCTION("""COMPUTED_VALUE"""),"Yes")</f>
        <v>Yes</v>
      </c>
      <c r="S259" s="1" t="str">
        <f ca="1">IFERROR(__xludf.DUMMYFUNCTION("""COMPUTED_VALUE"""),"No")</f>
        <v>No</v>
      </c>
      <c r="T259" s="1" t="str">
        <f ca="1">IFERROR(__xludf.DUMMYFUNCTION("""COMPUTED_VALUE"""),"Yes")</f>
        <v>Yes</v>
      </c>
    </row>
    <row r="260" spans="1:20" ht="13" x14ac:dyDescent="0.6">
      <c r="A260" s="1" t="str">
        <f ca="1">IFERROR(__xludf.DUMMYFUNCTION("""COMPUTED_VALUE"""),"Queen Anne's")</f>
        <v>Queen Anne's</v>
      </c>
      <c r="B260" s="1" t="str">
        <f ca="1">IFERROR(__xludf.DUMMYFUNCTION("""COMPUTED_VALUE"""),"Chester")</f>
        <v>Chester</v>
      </c>
      <c r="C260" s="1" t="str">
        <f ca="1">IFERROR(__xludf.DUMMYFUNCTION("""COMPUTED_VALUE"""),"Safeway Chester")</f>
        <v>Safeway Chester</v>
      </c>
      <c r="D260" s="1" t="str">
        <f ca="1">IFERROR(__xludf.DUMMYFUNCTION("""COMPUTED_VALUE"""),"1925 Main Street Chester, MD 21619")</f>
        <v>1925 Main Street Chester, MD 21619</v>
      </c>
      <c r="E260" s="1" t="str">
        <f ca="1">IFERROR(__xludf.DUMMYFUNCTION("""COMPUTED_VALUE"""),"Yes")</f>
        <v>Yes</v>
      </c>
      <c r="F260" s="1" t="str">
        <f ca="1">IFERROR(__xludf.DUMMYFUNCTION("""COMPUTED_VALUE"""),"Pharmacy")</f>
        <v>Pharmacy</v>
      </c>
      <c r="G260" s="1"/>
      <c r="H260" s="1"/>
      <c r="I260" s="2" t="str">
        <f ca="1">IFERROR(__xludf.DUMMYFUNCTION("""COMPUTED_VALUE"""),"https://mhealthsystem.com/covid1939")</f>
        <v>https://mhealthsystem.com/covid1939</v>
      </c>
      <c r="J260" s="1"/>
      <c r="K260" s="1"/>
      <c r="L260" s="1"/>
      <c r="M260" s="1" t="str">
        <f ca="1">IFERROR(__xludf.DUMMYFUNCTION("""COMPUTED_VALUE"""),"Schedule an appointment using the button below")</f>
        <v>Schedule an appointment using the button below</v>
      </c>
      <c r="N260" s="1"/>
      <c r="O260" s="1" t="str">
        <f ca="1">IFERROR(__xludf.DUMMYFUNCTION("""COMPUTED_VALUE"""),"Yes")</f>
        <v>Yes</v>
      </c>
      <c r="P260" s="1" t="str">
        <f ca="1">IFERROR(__xludf.DUMMYFUNCTION("""COMPUTED_VALUE"""),"21619")</f>
        <v>21619</v>
      </c>
      <c r="Q260" s="1" t="str">
        <f ca="1">IFERROR(__xludf.DUMMYFUNCTION("""COMPUTED_VALUE"""),"Yes")</f>
        <v>Yes</v>
      </c>
      <c r="R260" s="1" t="str">
        <f ca="1">IFERROR(__xludf.DUMMYFUNCTION("""COMPUTED_VALUE"""),"Yes")</f>
        <v>Yes</v>
      </c>
      <c r="S260" s="1" t="str">
        <f ca="1">IFERROR(__xludf.DUMMYFUNCTION("""COMPUTED_VALUE"""),"No")</f>
        <v>No</v>
      </c>
      <c r="T260" s="1" t="str">
        <f ca="1">IFERROR(__xludf.DUMMYFUNCTION("""COMPUTED_VALUE"""),"Yes")</f>
        <v>Yes</v>
      </c>
    </row>
    <row r="261" spans="1:20" ht="13" x14ac:dyDescent="0.6">
      <c r="A261" s="1" t="str">
        <f ca="1">IFERROR(__xludf.DUMMYFUNCTION("""COMPUTED_VALUE"""),"Queen Anne's")</f>
        <v>Queen Anne's</v>
      </c>
      <c r="B261" s="1" t="str">
        <f ca="1">IFERROR(__xludf.DUMMYFUNCTION("""COMPUTED_VALUE"""),"Chester")</f>
        <v>Chester</v>
      </c>
      <c r="C261" s="1" t="str">
        <f ca="1">IFERROR(__xludf.DUMMYFUNCTION("""COMPUTED_VALUE"""),"Walgreens Chester")</f>
        <v>Walgreens Chester</v>
      </c>
      <c r="D261" s="1" t="str">
        <f ca="1">IFERROR(__xludf.DUMMYFUNCTION("""COMPUTED_VALUE"""),"1802 Main St Chester MD 21619")</f>
        <v>1802 Main St Chester MD 21619</v>
      </c>
      <c r="E261" s="1" t="str">
        <f ca="1">IFERROR(__xludf.DUMMYFUNCTION("""COMPUTED_VALUE"""),"Yes")</f>
        <v>Yes</v>
      </c>
      <c r="F261" s="1" t="str">
        <f ca="1">IFERROR(__xludf.DUMMYFUNCTION("""COMPUTED_VALUE"""),"Pharmacy")</f>
        <v>Pharmacy</v>
      </c>
      <c r="G261" s="1"/>
      <c r="H261" s="1"/>
      <c r="I261" s="2" t="str">
        <f ca="1">IFERROR(__xludf.DUMMYFUNCTION("""COMPUTED_VALUE"""),"https://www.walgreens.com/schedulevaccine")</f>
        <v>https://www.walgreens.com/schedulevaccine</v>
      </c>
      <c r="J261" s="1"/>
      <c r="K261" s="1" t="str">
        <f ca="1">IFERROR(__xludf.DUMMYFUNCTION("""COMPUTED_VALUE"""),"1-800-WALGREENS")</f>
        <v>1-800-WALGREENS</v>
      </c>
      <c r="L261" s="1"/>
      <c r="M261" s="1" t="str">
        <f ca="1">IFERROR(__xludf.DUMMYFUNCTION("""COMPUTED_VALUE"""),"Schedule an appointment using the button below")</f>
        <v>Schedule an appointment using the button below</v>
      </c>
      <c r="N261" s="1"/>
      <c r="O261" s="1"/>
      <c r="P261" s="1" t="str">
        <f ca="1">IFERROR(__xludf.DUMMYFUNCTION("""COMPUTED_VALUE"""),"21619")</f>
        <v>21619</v>
      </c>
      <c r="Q261" s="1" t="str">
        <f ca="1">IFERROR(__xludf.DUMMYFUNCTION("""COMPUTED_VALUE"""),"Yes")</f>
        <v>Yes</v>
      </c>
      <c r="R261" s="1" t="str">
        <f ca="1">IFERROR(__xludf.DUMMYFUNCTION("""COMPUTED_VALUE"""),"No")</f>
        <v>No</v>
      </c>
      <c r="S261" s="1" t="str">
        <f ca="1">IFERROR(__xludf.DUMMYFUNCTION("""COMPUTED_VALUE"""),"No")</f>
        <v>No</v>
      </c>
      <c r="T261" s="1" t="str">
        <f ca="1">IFERROR(__xludf.DUMMYFUNCTION("""COMPUTED_VALUE"""),"Yes")</f>
        <v>Yes</v>
      </c>
    </row>
    <row r="262" spans="1:20" ht="13" x14ac:dyDescent="0.6">
      <c r="A262" s="1" t="str">
        <f ca="1">IFERROR(__xludf.DUMMYFUNCTION("""COMPUTED_VALUE"""),"Queen Anne's")</f>
        <v>Queen Anne's</v>
      </c>
      <c r="B262" s="1" t="str">
        <f ca="1">IFERROR(__xludf.DUMMYFUNCTION("""COMPUTED_VALUE"""),"Centreville")</f>
        <v>Centreville</v>
      </c>
      <c r="C262" s="1" t="str">
        <f ca="1">IFERROR(__xludf.DUMMYFUNCTION("""COMPUTED_VALUE"""),"Edwards Pharmacy")</f>
        <v>Edwards Pharmacy</v>
      </c>
      <c r="D262" s="1" t="str">
        <f ca="1">IFERROR(__xludf.DUMMYFUNCTION("""COMPUTED_VALUE"""),"102 S Commerce Street Centreville MD 21617")</f>
        <v>102 S Commerce Street Centreville MD 21617</v>
      </c>
      <c r="E262" s="1" t="str">
        <f ca="1">IFERROR(__xludf.DUMMYFUNCTION("""COMPUTED_VALUE"""),"Yes")</f>
        <v>Yes</v>
      </c>
      <c r="F262" s="1" t="str">
        <f ca="1">IFERROR(__xludf.DUMMYFUNCTION("""COMPUTED_VALUE"""),"Pharmacy")</f>
        <v>Pharmacy</v>
      </c>
      <c r="G262" s="1"/>
      <c r="H262" s="1"/>
      <c r="I262" s="1"/>
      <c r="J262" s="1"/>
      <c r="K262" s="1" t="str">
        <f ca="1">IFERROR(__xludf.DUMMYFUNCTION("""COMPUTED_VALUE"""),"410-758-1715")</f>
        <v>410-758-1715</v>
      </c>
      <c r="L262" s="1"/>
      <c r="M262" s="1" t="str">
        <f ca="1">IFERROR(__xludf.DUMMYFUNCTION("""COMPUTED_VALUE"""),"Call the number below to schedule an appointment")</f>
        <v>Call the number below to schedule an appointment</v>
      </c>
      <c r="N262" s="1"/>
      <c r="O262" s="1"/>
      <c r="P262" s="1" t="str">
        <f ca="1">IFERROR(__xludf.DUMMYFUNCTION("""COMPUTED_VALUE"""),"21617")</f>
        <v>21617</v>
      </c>
      <c r="Q262" s="1" t="str">
        <f ca="1">IFERROR(__xludf.DUMMYFUNCTION("""COMPUTED_VALUE"""),"No")</f>
        <v>No</v>
      </c>
      <c r="R262" s="1" t="str">
        <f ca="1">IFERROR(__xludf.DUMMYFUNCTION("""COMPUTED_VALUE"""),"No")</f>
        <v>No</v>
      </c>
      <c r="S262" s="1" t="str">
        <f ca="1">IFERROR(__xludf.DUMMYFUNCTION("""COMPUTED_VALUE"""),"No")</f>
        <v>No</v>
      </c>
      <c r="T262" s="1" t="str">
        <f ca="1">IFERROR(__xludf.DUMMYFUNCTION("""COMPUTED_VALUE"""),"Yes")</f>
        <v>Yes</v>
      </c>
    </row>
    <row r="263" spans="1:20" ht="13" x14ac:dyDescent="0.6">
      <c r="A263" s="1" t="str">
        <f ca="1">IFERROR(__xludf.DUMMYFUNCTION("""COMPUTED_VALUE"""),"Queen Anne's")</f>
        <v>Queen Anne's</v>
      </c>
      <c r="B263" s="1" t="str">
        <f ca="1">IFERROR(__xludf.DUMMYFUNCTION("""COMPUTED_VALUE"""),"Chester")</f>
        <v>Chester</v>
      </c>
      <c r="C263" s="1" t="str">
        <f ca="1">IFERROR(__xludf.DUMMYFUNCTION("""COMPUTED_VALUE"""),"CVS Chester")</f>
        <v>CVS Chester</v>
      </c>
      <c r="D263" s="1" t="str">
        <f ca="1">IFERROR(__xludf.DUMMYFUNCTION("""COMPUTED_VALUE"""),"115 S. Piney Rd., Chester, MD 21619")</f>
        <v>115 S. Piney Rd., Chester, MD 21619</v>
      </c>
      <c r="E263" s="1" t="str">
        <f ca="1">IFERROR(__xludf.DUMMYFUNCTION("""COMPUTED_VALUE"""),"Yes")</f>
        <v>Yes</v>
      </c>
      <c r="F263" s="1" t="str">
        <f ca="1">IFERROR(__xludf.DUMMYFUNCTION("""COMPUTED_VALUE"""),"Pharmacy")</f>
        <v>Pharmacy</v>
      </c>
      <c r="G263" s="1"/>
      <c r="H263" s="1"/>
      <c r="I263" s="2" t="str">
        <f ca="1">IFERROR(__xludf.DUMMYFUNCTION("""COMPUTED_VALUE"""),"https://www.cvs.com/immunizations/covid-19-vaccine")</f>
        <v>https://www.cvs.com/immunizations/covid-19-vaccine</v>
      </c>
      <c r="J263" s="1" t="str">
        <f ca="1">IFERROR(__xludf.DUMMYFUNCTION("""COMPUTED_VALUE"""),"Yes")</f>
        <v>Yes</v>
      </c>
      <c r="K263" s="1" t="str">
        <f ca="1">IFERROR(__xludf.DUMMYFUNCTION("""COMPUTED_VALUE"""),"800-746-7287")</f>
        <v>800-746-7287</v>
      </c>
      <c r="L263" s="1"/>
      <c r="M263" s="1" t="str">
        <f ca="1">IFERROR(__xludf.DUMMYFUNCTION("""COMPUTED_VALUE"""),"Schedule an appointment using the button below")</f>
        <v>Schedule an appointment using the button below</v>
      </c>
      <c r="N263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63" s="1" t="str">
        <f ca="1">IFERROR(__xludf.DUMMYFUNCTION("""COMPUTED_VALUE"""),"Yes")</f>
        <v>Yes</v>
      </c>
      <c r="P263" s="1" t="str">
        <f ca="1">IFERROR(__xludf.DUMMYFUNCTION("""COMPUTED_VALUE"""),"21619")</f>
        <v>21619</v>
      </c>
      <c r="Q263" s="1" t="str">
        <f ca="1">IFERROR(__xludf.DUMMYFUNCTION("""COMPUTED_VALUE"""),"Yes")</f>
        <v>Yes</v>
      </c>
      <c r="R263" s="1" t="str">
        <f ca="1">IFERROR(__xludf.DUMMYFUNCTION("""COMPUTED_VALUE"""),"No")</f>
        <v>No</v>
      </c>
      <c r="S263" s="1" t="str">
        <f ca="1">IFERROR(__xludf.DUMMYFUNCTION("""COMPUTED_VALUE"""),"No")</f>
        <v>No</v>
      </c>
      <c r="T263" s="1" t="str">
        <f ca="1">IFERROR(__xludf.DUMMYFUNCTION("""COMPUTED_VALUE"""),"Yes")</f>
        <v>Yes</v>
      </c>
    </row>
    <row r="264" spans="1:20" ht="13" x14ac:dyDescent="0.6">
      <c r="A264" s="1" t="str">
        <f ca="1">IFERROR(__xludf.DUMMYFUNCTION("""COMPUTED_VALUE"""),"Somerset")</f>
        <v>Somerset</v>
      </c>
      <c r="B264" s="1" t="str">
        <f ca="1">IFERROR(__xludf.DUMMYFUNCTION("""COMPUTED_VALUE"""),"Princess Anne")</f>
        <v>Princess Anne</v>
      </c>
      <c r="C264" s="1" t="str">
        <f ca="1">IFERROR(__xludf.DUMMYFUNCTION("""COMPUTED_VALUE"""),"Rite Aid Princess Anne")</f>
        <v>Rite Aid Princess Anne</v>
      </c>
      <c r="D264" s="1" t="str">
        <f ca="1">IFERROR(__xludf.DUMMYFUNCTION("""COMPUTED_VALUE"""),"12154 Brittingham Lane, Princess Anne MD")</f>
        <v>12154 Brittingham Lane, Princess Anne MD</v>
      </c>
      <c r="E264" s="1" t="str">
        <f ca="1">IFERROR(__xludf.DUMMYFUNCTION("""COMPUTED_VALUE"""),"Yes")</f>
        <v>Yes</v>
      </c>
      <c r="F264" s="1" t="str">
        <f ca="1">IFERROR(__xludf.DUMMYFUNCTION("""COMPUTED_VALUE"""),"Pharmacy")</f>
        <v>Pharmacy</v>
      </c>
      <c r="G264" s="1"/>
      <c r="H264" s="1"/>
      <c r="I264" s="2" t="str">
        <f ca="1">IFERROR(__xludf.DUMMYFUNCTION("""COMPUTED_VALUE"""),"https://www.riteaid.com/pharmacy/covid-qualifier")</f>
        <v>https://www.riteaid.com/pharmacy/covid-qualifier</v>
      </c>
      <c r="J264" s="1"/>
      <c r="K264" s="1"/>
      <c r="L264" s="1"/>
      <c r="M264" s="1" t="str">
        <f ca="1">IFERROR(__xludf.DUMMYFUNCTION("""COMPUTED_VALUE"""),"Schedule an appointment using the button below")</f>
        <v>Schedule an appointment using the button below</v>
      </c>
      <c r="N264" s="1"/>
      <c r="O264" s="1"/>
      <c r="P264" s="1" t="str">
        <f ca="1">IFERROR(__xludf.DUMMYFUNCTION("""COMPUTED_VALUE"""),"ne MD")</f>
        <v>ne MD</v>
      </c>
      <c r="Q264" s="1" t="str">
        <f ca="1">IFERROR(__xludf.DUMMYFUNCTION("""COMPUTED_VALUE"""),"Yes")</f>
        <v>Yes</v>
      </c>
      <c r="R264" s="1" t="str">
        <f ca="1">IFERROR(__xludf.DUMMYFUNCTION("""COMPUTED_VALUE"""),"Yes")</f>
        <v>Yes</v>
      </c>
      <c r="S264" s="1" t="str">
        <f ca="1">IFERROR(__xludf.DUMMYFUNCTION("""COMPUTED_VALUE"""),"Yes")</f>
        <v>Yes</v>
      </c>
      <c r="T264" s="1" t="str">
        <f ca="1">IFERROR(__xludf.DUMMYFUNCTION("""COMPUTED_VALUE"""),"Yes")</f>
        <v>Yes</v>
      </c>
    </row>
    <row r="265" spans="1:20" ht="13" x14ac:dyDescent="0.6">
      <c r="A265" s="1" t="str">
        <f ca="1">IFERROR(__xludf.DUMMYFUNCTION("""COMPUTED_VALUE"""),"St. Mary's")</f>
        <v>St. Mary's</v>
      </c>
      <c r="B265" s="1" t="str">
        <f ca="1">IFERROR(__xludf.DUMMYFUNCTION("""COMPUTED_VALUE"""),"Callaway")</f>
        <v>Callaway</v>
      </c>
      <c r="C265" s="1" t="str">
        <f ca="1">IFERROR(__xludf.DUMMYFUNCTION("""COMPUTED_VALUE"""),"Weis Pharmacy #282")</f>
        <v>Weis Pharmacy #282</v>
      </c>
      <c r="D265" s="1" t="str">
        <f ca="1">IFERROR(__xludf.DUMMYFUNCTION("""COMPUTED_VALUE"""),"20995 Point Lookout Rd Callaway, MD 20620")</f>
        <v>20995 Point Lookout Rd Callaway, MD 20620</v>
      </c>
      <c r="E265" s="1" t="str">
        <f ca="1">IFERROR(__xludf.DUMMYFUNCTION("""COMPUTED_VALUE"""),"Yes")</f>
        <v>Yes</v>
      </c>
      <c r="F265" s="1" t="str">
        <f ca="1">IFERROR(__xludf.DUMMYFUNCTION("""COMPUTED_VALUE"""),"Pharmacy")</f>
        <v>Pharmacy</v>
      </c>
      <c r="G265" s="1"/>
      <c r="H265" s="1"/>
      <c r="I265" s="2" t="str">
        <f ca="1">IFERROR(__xludf.DUMMYFUNCTION("""COMPUTED_VALUE"""),"https://www.weismarkets.com/pharmacy-services")</f>
        <v>https://www.weismarkets.com/pharmacy-services</v>
      </c>
      <c r="J265" s="1"/>
      <c r="K265" s="1"/>
      <c r="L265" s="1"/>
      <c r="M265" s="1" t="str">
        <f ca="1">IFERROR(__xludf.DUMMYFUNCTION("""COMPUTED_VALUE"""),"Schedule an appointment using the button below")</f>
        <v>Schedule an appointment using the button below</v>
      </c>
      <c r="N265" s="1"/>
      <c r="O265" s="1" t="str">
        <f ca="1">IFERROR(__xludf.DUMMYFUNCTION("""COMPUTED_VALUE"""),"Yes")</f>
        <v>Yes</v>
      </c>
      <c r="P265" s="1" t="str">
        <f ca="1">IFERROR(__xludf.DUMMYFUNCTION("""COMPUTED_VALUE"""),"20620")</f>
        <v>20620</v>
      </c>
      <c r="Q265" s="1" t="str">
        <f ca="1">IFERROR(__xludf.DUMMYFUNCTION("""COMPUTED_VALUE"""),"No")</f>
        <v>No</v>
      </c>
      <c r="R265" s="1" t="str">
        <f ca="1">IFERROR(__xludf.DUMMYFUNCTION("""COMPUTED_VALUE"""),"No")</f>
        <v>No</v>
      </c>
      <c r="S265" s="1" t="str">
        <f ca="1">IFERROR(__xludf.DUMMYFUNCTION("""COMPUTED_VALUE"""),"No")</f>
        <v>No</v>
      </c>
      <c r="T265" s="1" t="str">
        <f ca="1">IFERROR(__xludf.DUMMYFUNCTION("""COMPUTED_VALUE"""),"Yes")</f>
        <v>Yes</v>
      </c>
    </row>
    <row r="266" spans="1:20" ht="13" x14ac:dyDescent="0.6">
      <c r="A266" s="1" t="str">
        <f ca="1">IFERROR(__xludf.DUMMYFUNCTION("""COMPUTED_VALUE"""),"St. Mary's")</f>
        <v>St. Mary's</v>
      </c>
      <c r="B266" s="1" t="str">
        <f ca="1">IFERROR(__xludf.DUMMYFUNCTION("""COMPUTED_VALUE"""),"California")</f>
        <v>California</v>
      </c>
      <c r="C266" s="1" t="str">
        <f ca="1">IFERROR(__xludf.DUMMYFUNCTION("""COMPUTED_VALUE"""),"Walmart California")</f>
        <v>Walmart California</v>
      </c>
      <c r="D266" s="1" t="str">
        <f ca="1">IFERROR(__xludf.DUMMYFUNCTION("""COMPUTED_VALUE"""),"45485 Miramar Way California, MD 20619")</f>
        <v>45485 Miramar Way California, MD 20619</v>
      </c>
      <c r="E266" s="1" t="str">
        <f ca="1">IFERROR(__xludf.DUMMYFUNCTION("""COMPUTED_VALUE"""),"Yes")</f>
        <v>Yes</v>
      </c>
      <c r="F266" s="1" t="str">
        <f ca="1">IFERROR(__xludf.DUMMYFUNCTION("""COMPUTED_VALUE"""),"Pharmacy")</f>
        <v>Pharmacy</v>
      </c>
      <c r="G266" s="1"/>
      <c r="H266" s="1"/>
      <c r="I266" s="2" t="str">
        <f ca="1">IFERROR(__xludf.DUMMYFUNCTION("""COMPUTED_VALUE"""),"https://walmart.com/covidvaccine")</f>
        <v>https://walmart.com/covidvaccine</v>
      </c>
      <c r="J266" s="1"/>
      <c r="K266" s="1" t="str">
        <f ca="1">IFERROR(__xludf.DUMMYFUNCTION("""COMPUTED_VALUE"""),"301-737-0611")</f>
        <v>301-737-0611</v>
      </c>
      <c r="L266" s="1"/>
      <c r="M266" s="1" t="str">
        <f ca="1">IFERROR(__xludf.DUMMYFUNCTION("""COMPUTED_VALUE"""),"Schedule an appointment using the button below")</f>
        <v>Schedule an appointment using the button below</v>
      </c>
      <c r="N266" s="1"/>
      <c r="O266" s="1"/>
      <c r="P266" s="1" t="str">
        <f ca="1">IFERROR(__xludf.DUMMYFUNCTION("""COMPUTED_VALUE"""),"20619")</f>
        <v>20619</v>
      </c>
      <c r="Q266" s="1" t="str">
        <f ca="1">IFERROR(__xludf.DUMMYFUNCTION("""COMPUTED_VALUE"""),"No")</f>
        <v>No</v>
      </c>
      <c r="R266" s="1" t="str">
        <f ca="1">IFERROR(__xludf.DUMMYFUNCTION("""COMPUTED_VALUE"""),"Yes")</f>
        <v>Yes</v>
      </c>
      <c r="S266" s="1" t="str">
        <f ca="1">IFERROR(__xludf.DUMMYFUNCTION("""COMPUTED_VALUE"""),"Yes")</f>
        <v>Yes</v>
      </c>
      <c r="T266" s="1" t="str">
        <f ca="1">IFERROR(__xludf.DUMMYFUNCTION("""COMPUTED_VALUE"""),"Yes")</f>
        <v>Yes</v>
      </c>
    </row>
    <row r="267" spans="1:20" ht="13" x14ac:dyDescent="0.6">
      <c r="A267" s="1" t="str">
        <f ca="1">IFERROR(__xludf.DUMMYFUNCTION("""COMPUTED_VALUE"""),"St. Mary's")</f>
        <v>St. Mary's</v>
      </c>
      <c r="B267" s="1" t="str">
        <f ca="1">IFERROR(__xludf.DUMMYFUNCTION("""COMPUTED_VALUE"""),"Lexington Park")</f>
        <v>Lexington Park</v>
      </c>
      <c r="C267" s="1" t="str">
        <f ca="1">IFERROR(__xludf.DUMMYFUNCTION("""COMPUTED_VALUE"""),"CVS Lexington Park")</f>
        <v>CVS Lexington Park</v>
      </c>
      <c r="D267" s="1" t="str">
        <f ca="1">IFERROR(__xludf.DUMMYFUNCTION("""COMPUTED_VALUE"""),"21676 Great Mills Road Lexington Park, MD 20653 ")</f>
        <v xml:space="preserve">21676 Great Mills Road Lexington Park, MD 20653 </v>
      </c>
      <c r="E267" s="1" t="str">
        <f ca="1">IFERROR(__xludf.DUMMYFUNCTION("""COMPUTED_VALUE"""),"Yes")</f>
        <v>Yes</v>
      </c>
      <c r="F267" s="1" t="str">
        <f ca="1">IFERROR(__xludf.DUMMYFUNCTION("""COMPUTED_VALUE"""),"Pharmacy")</f>
        <v>Pharmacy</v>
      </c>
      <c r="G267" s="1"/>
      <c r="H267" s="1"/>
      <c r="I267" s="2" t="str">
        <f ca="1">IFERROR(__xludf.DUMMYFUNCTION("""COMPUTED_VALUE"""),"https://www.cvs.com/immunizations/covid-19-vaccine")</f>
        <v>https://www.cvs.com/immunizations/covid-19-vaccine</v>
      </c>
      <c r="J267" s="1" t="str">
        <f ca="1">IFERROR(__xludf.DUMMYFUNCTION("""COMPUTED_VALUE"""),"Yes")</f>
        <v>Yes</v>
      </c>
      <c r="K267" s="1" t="str">
        <f ca="1">IFERROR(__xludf.DUMMYFUNCTION("""COMPUTED_VALUE"""),"800-746-7287")</f>
        <v>800-746-7287</v>
      </c>
      <c r="L267" s="1"/>
      <c r="M267" s="1" t="str">
        <f ca="1">IFERROR(__xludf.DUMMYFUNCTION("""COMPUTED_VALUE"""),"Schedule an appointment using the button below")</f>
        <v>Schedule an appointment using the button below</v>
      </c>
      <c r="N267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67" s="1" t="str">
        <f ca="1">IFERROR(__xludf.DUMMYFUNCTION("""COMPUTED_VALUE"""),"Yes")</f>
        <v>Yes</v>
      </c>
      <c r="P267" s="1" t="str">
        <f ca="1">IFERROR(__xludf.DUMMYFUNCTION("""COMPUTED_VALUE"""),"0653 ")</f>
        <v xml:space="preserve">0653 </v>
      </c>
      <c r="Q267" s="1" t="str">
        <f ca="1">IFERROR(__xludf.DUMMYFUNCTION("""COMPUTED_VALUE"""),"Yes")</f>
        <v>Yes</v>
      </c>
      <c r="R267" s="1" t="str">
        <f ca="1">IFERROR(__xludf.DUMMYFUNCTION("""COMPUTED_VALUE"""),"No")</f>
        <v>No</v>
      </c>
      <c r="S267" s="1" t="str">
        <f ca="1">IFERROR(__xludf.DUMMYFUNCTION("""COMPUTED_VALUE"""),"No")</f>
        <v>No</v>
      </c>
      <c r="T267" s="1" t="str">
        <f ca="1">IFERROR(__xludf.DUMMYFUNCTION("""COMPUTED_VALUE"""),"Yes")</f>
        <v>Yes</v>
      </c>
    </row>
    <row r="268" spans="1:20" ht="13" x14ac:dyDescent="0.6">
      <c r="A268" s="1" t="str">
        <f ca="1">IFERROR(__xludf.DUMMYFUNCTION("""COMPUTED_VALUE"""),"Talbot")</f>
        <v>Talbot</v>
      </c>
      <c r="B268" s="1" t="str">
        <f ca="1">IFERROR(__xludf.DUMMYFUNCTION("""COMPUTED_VALUE"""),"Easton")</f>
        <v>Easton</v>
      </c>
      <c r="C268" s="1" t="str">
        <f ca="1">IFERROR(__xludf.DUMMYFUNCTION("""COMPUTED_VALUE"""),"Walmart Easton")</f>
        <v>Walmart Easton</v>
      </c>
      <c r="D268" s="1" t="str">
        <f ca="1">IFERROR(__xludf.DUMMYFUNCTION("""COMPUTED_VALUE"""),"8155 Elliott Rd Easton MD 21601-7131")</f>
        <v>8155 Elliott Rd Easton MD 21601-7131</v>
      </c>
      <c r="E268" s="1" t="str">
        <f ca="1">IFERROR(__xludf.DUMMYFUNCTION("""COMPUTED_VALUE"""),"Yes")</f>
        <v>Yes</v>
      </c>
      <c r="F268" s="1" t="str">
        <f ca="1">IFERROR(__xludf.DUMMYFUNCTION("""COMPUTED_VALUE"""),"Pharmacy")</f>
        <v>Pharmacy</v>
      </c>
      <c r="G268" s="1"/>
      <c r="H268" s="1"/>
      <c r="I268" s="2" t="str">
        <f ca="1">IFERROR(__xludf.DUMMYFUNCTION("""COMPUTED_VALUE"""),"https://walmart.com/covidvaccine")</f>
        <v>https://walmart.com/covidvaccine</v>
      </c>
      <c r="J268" s="1"/>
      <c r="K268" s="1" t="str">
        <f ca="1">IFERROR(__xludf.DUMMYFUNCTION("""COMPUTED_VALUE"""),"410-819-0507")</f>
        <v>410-819-0507</v>
      </c>
      <c r="L268" s="1"/>
      <c r="M268" s="1" t="str">
        <f ca="1">IFERROR(__xludf.DUMMYFUNCTION("""COMPUTED_VALUE"""),"Schedule an appointment using the button below")</f>
        <v>Schedule an appointment using the button below</v>
      </c>
      <c r="N268" s="1"/>
      <c r="O268" s="1"/>
      <c r="P268" s="1" t="str">
        <f ca="1">IFERROR(__xludf.DUMMYFUNCTION("""COMPUTED_VALUE"""),"-7131")</f>
        <v>-7131</v>
      </c>
      <c r="Q268" s="1" t="str">
        <f ca="1">IFERROR(__xludf.DUMMYFUNCTION("""COMPUTED_VALUE"""),"Yes")</f>
        <v>Yes</v>
      </c>
      <c r="R268" s="1" t="str">
        <f ca="1">IFERROR(__xludf.DUMMYFUNCTION("""COMPUTED_VALUE"""),"Yes")</f>
        <v>Yes</v>
      </c>
      <c r="S268" s="1" t="str">
        <f ca="1">IFERROR(__xludf.DUMMYFUNCTION("""COMPUTED_VALUE"""),"No")</f>
        <v>No</v>
      </c>
      <c r="T268" s="1" t="str">
        <f ca="1">IFERROR(__xludf.DUMMYFUNCTION("""COMPUTED_VALUE"""),"Yes")</f>
        <v>Yes</v>
      </c>
    </row>
    <row r="269" spans="1:20" ht="13" x14ac:dyDescent="0.6">
      <c r="A269" s="1" t="str">
        <f ca="1">IFERROR(__xludf.DUMMYFUNCTION("""COMPUTED_VALUE"""),"Talbot")</f>
        <v>Talbot</v>
      </c>
      <c r="B269" s="1" t="str">
        <f ca="1">IFERROR(__xludf.DUMMYFUNCTION("""COMPUTED_VALUE"""),"Easton")</f>
        <v>Easton</v>
      </c>
      <c r="C269" s="1" t="str">
        <f ca="1">IFERROR(__xludf.DUMMYFUNCTION("""COMPUTED_VALUE"""),"Walgreens Easton")</f>
        <v>Walgreens Easton</v>
      </c>
      <c r="D269" s="1" t="str">
        <f ca="1">IFERROR(__xludf.DUMMYFUNCTION("""COMPUTED_VALUE"""),"8174 Ocean Gtwy Easton MD 21601")</f>
        <v>8174 Ocean Gtwy Easton MD 21601</v>
      </c>
      <c r="E269" s="1" t="str">
        <f ca="1">IFERROR(__xludf.DUMMYFUNCTION("""COMPUTED_VALUE"""),"Yes")</f>
        <v>Yes</v>
      </c>
      <c r="F269" s="1" t="str">
        <f ca="1">IFERROR(__xludf.DUMMYFUNCTION("""COMPUTED_VALUE"""),"Pharmacy")</f>
        <v>Pharmacy</v>
      </c>
      <c r="G269" s="1"/>
      <c r="H269" s="1"/>
      <c r="I269" s="2" t="str">
        <f ca="1">IFERROR(__xludf.DUMMYFUNCTION("""COMPUTED_VALUE"""),"https://www.walgreens.com/schedulevaccine")</f>
        <v>https://www.walgreens.com/schedulevaccine</v>
      </c>
      <c r="J269" s="1"/>
      <c r="K269" s="1" t="str">
        <f ca="1">IFERROR(__xludf.DUMMYFUNCTION("""COMPUTED_VALUE"""),"1-800-WALGREENS")</f>
        <v>1-800-WALGREENS</v>
      </c>
      <c r="L269" s="1"/>
      <c r="M269" s="1" t="str">
        <f ca="1">IFERROR(__xludf.DUMMYFUNCTION("""COMPUTED_VALUE"""),"Schedule an appointment using the button below")</f>
        <v>Schedule an appointment using the button below</v>
      </c>
      <c r="N269" s="1"/>
      <c r="O269" s="1"/>
      <c r="P269" s="1" t="str">
        <f ca="1">IFERROR(__xludf.DUMMYFUNCTION("""COMPUTED_VALUE"""),"21601")</f>
        <v>21601</v>
      </c>
      <c r="Q269" s="1" t="str">
        <f ca="1">IFERROR(__xludf.DUMMYFUNCTION("""COMPUTED_VALUE"""),"Yes")</f>
        <v>Yes</v>
      </c>
      <c r="R269" s="1" t="str">
        <f ca="1">IFERROR(__xludf.DUMMYFUNCTION("""COMPUTED_VALUE"""),"Yes")</f>
        <v>Yes</v>
      </c>
      <c r="S269" s="1" t="str">
        <f ca="1">IFERROR(__xludf.DUMMYFUNCTION("""COMPUTED_VALUE"""),"No")</f>
        <v>No</v>
      </c>
      <c r="T269" s="1" t="str">
        <f ca="1">IFERROR(__xludf.DUMMYFUNCTION("""COMPUTED_VALUE"""),"Yes")</f>
        <v>Yes</v>
      </c>
    </row>
    <row r="270" spans="1:20" ht="13" x14ac:dyDescent="0.6">
      <c r="A270" s="1" t="str">
        <f ca="1">IFERROR(__xludf.DUMMYFUNCTION("""COMPUTED_VALUE"""),"Talbot")</f>
        <v>Talbot</v>
      </c>
      <c r="B270" s="1" t="str">
        <f ca="1">IFERROR(__xludf.DUMMYFUNCTION("""COMPUTED_VALUE"""),"Easton")</f>
        <v>Easton</v>
      </c>
      <c r="C270" s="1" t="str">
        <f ca="1">IFERROR(__xludf.DUMMYFUNCTION("""COMPUTED_VALUE"""),"CVS Easton")</f>
        <v>CVS Easton</v>
      </c>
      <c r="D270" s="1" t="str">
        <f ca="1">IFERROR(__xludf.DUMMYFUNCTION("""COMPUTED_VALUE"""),"8290 Ocean Gtwy Easton Maryland 21601")</f>
        <v>8290 Ocean Gtwy Easton Maryland 21601</v>
      </c>
      <c r="E270" s="1" t="str">
        <f ca="1">IFERROR(__xludf.DUMMYFUNCTION("""COMPUTED_VALUE"""),"Yes")</f>
        <v>Yes</v>
      </c>
      <c r="F270" s="1" t="str">
        <f ca="1">IFERROR(__xludf.DUMMYFUNCTION("""COMPUTED_VALUE"""),"Pharmacy")</f>
        <v>Pharmacy</v>
      </c>
      <c r="G270" s="1"/>
      <c r="H270" s="1"/>
      <c r="I270" s="2" t="str">
        <f ca="1">IFERROR(__xludf.DUMMYFUNCTION("""COMPUTED_VALUE"""),"https://www.cvs.com/immunizations/covid-19-vaccine")</f>
        <v>https://www.cvs.com/immunizations/covid-19-vaccine</v>
      </c>
      <c r="J270" s="1" t="str">
        <f ca="1">IFERROR(__xludf.DUMMYFUNCTION("""COMPUTED_VALUE"""),"Yes")</f>
        <v>Yes</v>
      </c>
      <c r="K270" s="1" t="str">
        <f ca="1">IFERROR(__xludf.DUMMYFUNCTION("""COMPUTED_VALUE"""),"800-746-7287")</f>
        <v>800-746-7287</v>
      </c>
      <c r="L270" s="1"/>
      <c r="M270" s="1" t="str">
        <f ca="1">IFERROR(__xludf.DUMMYFUNCTION("""COMPUTED_VALUE"""),"Schedule an appointment using the button below")</f>
        <v>Schedule an appointment using the button below</v>
      </c>
      <c r="N270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70" s="1" t="str">
        <f ca="1">IFERROR(__xludf.DUMMYFUNCTION("""COMPUTED_VALUE"""),"Yes")</f>
        <v>Yes</v>
      </c>
      <c r="P270" s="1" t="str">
        <f ca="1">IFERROR(__xludf.DUMMYFUNCTION("""COMPUTED_VALUE"""),"21601")</f>
        <v>21601</v>
      </c>
      <c r="Q270" s="1" t="str">
        <f ca="1">IFERROR(__xludf.DUMMYFUNCTION("""COMPUTED_VALUE"""),"Yes")</f>
        <v>Yes</v>
      </c>
      <c r="R270" s="1" t="str">
        <f ca="1">IFERROR(__xludf.DUMMYFUNCTION("""COMPUTED_VALUE"""),"No")</f>
        <v>No</v>
      </c>
      <c r="S270" s="1" t="str">
        <f ca="1">IFERROR(__xludf.DUMMYFUNCTION("""COMPUTED_VALUE"""),"No")</f>
        <v>No</v>
      </c>
      <c r="T270" s="1" t="str">
        <f ca="1">IFERROR(__xludf.DUMMYFUNCTION("""COMPUTED_VALUE"""),"Yes")</f>
        <v>Yes</v>
      </c>
    </row>
    <row r="271" spans="1:20" ht="13" x14ac:dyDescent="0.6">
      <c r="A271" s="1" t="str">
        <f ca="1">IFERROR(__xludf.DUMMYFUNCTION("""COMPUTED_VALUE"""),"Washington")</f>
        <v>Washington</v>
      </c>
      <c r="B271" s="1" t="str">
        <f ca="1">IFERROR(__xludf.DUMMYFUNCTION("""COMPUTED_VALUE"""),"Hagerstown")</f>
        <v>Hagerstown</v>
      </c>
      <c r="C271" s="1" t="str">
        <f ca="1">IFERROR(__xludf.DUMMYFUNCTION("""COMPUTED_VALUE"""),"Walgreens Hagerstown")</f>
        <v>Walgreens Hagerstown</v>
      </c>
      <c r="D271" s="1" t="str">
        <f ca="1">IFERROR(__xludf.DUMMYFUNCTION("""COMPUTED_VALUE"""),"1631 Dual Hwy Hagerstown Maryland 21740")</f>
        <v>1631 Dual Hwy Hagerstown Maryland 21740</v>
      </c>
      <c r="E271" s="1" t="str">
        <f ca="1">IFERROR(__xludf.DUMMYFUNCTION("""COMPUTED_VALUE"""),"Yes")</f>
        <v>Yes</v>
      </c>
      <c r="F271" s="1" t="str">
        <f ca="1">IFERROR(__xludf.DUMMYFUNCTION("""COMPUTED_VALUE"""),"Pharmacy")</f>
        <v>Pharmacy</v>
      </c>
      <c r="G271" s="1"/>
      <c r="H271" s="1"/>
      <c r="I271" s="2" t="str">
        <f ca="1">IFERROR(__xludf.DUMMYFUNCTION("""COMPUTED_VALUE"""),"https://www.walgreens.com/schedulevaccine")</f>
        <v>https://www.walgreens.com/schedulevaccine</v>
      </c>
      <c r="J271" s="1"/>
      <c r="K271" s="1" t="str">
        <f ca="1">IFERROR(__xludf.DUMMYFUNCTION("""COMPUTED_VALUE"""),"1-800-WALGREENS")</f>
        <v>1-800-WALGREENS</v>
      </c>
      <c r="L271" s="1"/>
      <c r="M271" s="1" t="str">
        <f ca="1">IFERROR(__xludf.DUMMYFUNCTION("""COMPUTED_VALUE"""),"Schedule an appointment using the button below")</f>
        <v>Schedule an appointment using the button below</v>
      </c>
      <c r="N271" s="1"/>
      <c r="O271" s="1" t="str">
        <f ca="1">IFERROR(__xludf.DUMMYFUNCTION("""COMPUTED_VALUE"""),"Yes")</f>
        <v>Yes</v>
      </c>
      <c r="P271" s="1" t="str">
        <f ca="1">IFERROR(__xludf.DUMMYFUNCTION("""COMPUTED_VALUE"""),"21740")</f>
        <v>21740</v>
      </c>
      <c r="Q271" s="1" t="str">
        <f ca="1">IFERROR(__xludf.DUMMYFUNCTION("""COMPUTED_VALUE"""),"Yes")</f>
        <v>Yes</v>
      </c>
      <c r="R271" s="1" t="str">
        <f ca="1">IFERROR(__xludf.DUMMYFUNCTION("""COMPUTED_VALUE"""),"No")</f>
        <v>No</v>
      </c>
      <c r="S271" s="1" t="str">
        <f ca="1">IFERROR(__xludf.DUMMYFUNCTION("""COMPUTED_VALUE"""),"No")</f>
        <v>No</v>
      </c>
      <c r="T271" s="1" t="str">
        <f ca="1">IFERROR(__xludf.DUMMYFUNCTION("""COMPUTED_VALUE"""),"Yes")</f>
        <v>Yes</v>
      </c>
    </row>
    <row r="272" spans="1:20" ht="13" x14ac:dyDescent="0.6">
      <c r="A272" s="1" t="str">
        <f ca="1">IFERROR(__xludf.DUMMYFUNCTION("""COMPUTED_VALUE"""),"Washington")</f>
        <v>Washington</v>
      </c>
      <c r="B272" s="1" t="str">
        <f ca="1">IFERROR(__xludf.DUMMYFUNCTION("""COMPUTED_VALUE"""),"Hagerstown")</f>
        <v>Hagerstown</v>
      </c>
      <c r="C272" s="1" t="str">
        <f ca="1">IFERROR(__xludf.DUMMYFUNCTION("""COMPUTED_VALUE"""),"Walmart Hagerstown")</f>
        <v>Walmart Hagerstown</v>
      </c>
      <c r="D272" s="1" t="str">
        <f ca="1">IFERROR(__xludf.DUMMYFUNCTION("""COMPUTED_VALUE"""),"17850 Garland Groh Blvd Hagerstown MD 21740")</f>
        <v>17850 Garland Groh Blvd Hagerstown MD 21740</v>
      </c>
      <c r="E272" s="1" t="str">
        <f ca="1">IFERROR(__xludf.DUMMYFUNCTION("""COMPUTED_VALUE"""),"Yes")</f>
        <v>Yes</v>
      </c>
      <c r="F272" s="1" t="str">
        <f ca="1">IFERROR(__xludf.DUMMYFUNCTION("""COMPUTED_VALUE"""),"Pharmacy")</f>
        <v>Pharmacy</v>
      </c>
      <c r="G272" s="1"/>
      <c r="H272" s="1"/>
      <c r="I272" s="2" t="str">
        <f ca="1">IFERROR(__xludf.DUMMYFUNCTION("""COMPUTED_VALUE"""),"https://walmart.com/covidvaccine")</f>
        <v>https://walmart.com/covidvaccine</v>
      </c>
      <c r="J272" s="1"/>
      <c r="K272" s="1" t="str">
        <f ca="1">IFERROR(__xludf.DUMMYFUNCTION("""COMPUTED_VALUE"""),"301-714-1377")</f>
        <v>301-714-1377</v>
      </c>
      <c r="L272" s="1"/>
      <c r="M272" s="1" t="str">
        <f ca="1">IFERROR(__xludf.DUMMYFUNCTION("""COMPUTED_VALUE"""),"Schedule an appointment using the button below")</f>
        <v>Schedule an appointment using the button below</v>
      </c>
      <c r="N272" s="1"/>
      <c r="O272" s="1" t="str">
        <f ca="1">IFERROR(__xludf.DUMMYFUNCTION("""COMPUTED_VALUE"""),"Yes")</f>
        <v>Yes</v>
      </c>
      <c r="P272" s="1" t="str">
        <f ca="1">IFERROR(__xludf.DUMMYFUNCTION("""COMPUTED_VALUE"""),"21740")</f>
        <v>21740</v>
      </c>
      <c r="Q272" s="1" t="str">
        <f ca="1">IFERROR(__xludf.DUMMYFUNCTION("""COMPUTED_VALUE"""),"Yes")</f>
        <v>Yes</v>
      </c>
      <c r="R272" s="1" t="str">
        <f ca="1">IFERROR(__xludf.DUMMYFUNCTION("""COMPUTED_VALUE"""),"No")</f>
        <v>No</v>
      </c>
      <c r="S272" s="1" t="str">
        <f ca="1">IFERROR(__xludf.DUMMYFUNCTION("""COMPUTED_VALUE"""),"No")</f>
        <v>No</v>
      </c>
      <c r="T272" s="1" t="str">
        <f ca="1">IFERROR(__xludf.DUMMYFUNCTION("""COMPUTED_VALUE"""),"Yes")</f>
        <v>Yes</v>
      </c>
    </row>
    <row r="273" spans="1:20" ht="13" x14ac:dyDescent="0.6">
      <c r="A273" s="1" t="str">
        <f ca="1">IFERROR(__xludf.DUMMYFUNCTION("""COMPUTED_VALUE"""),"Washington")</f>
        <v>Washington</v>
      </c>
      <c r="B273" s="1" t="str">
        <f ca="1">IFERROR(__xludf.DUMMYFUNCTION("""COMPUTED_VALUE"""),"Hagerstown")</f>
        <v>Hagerstown</v>
      </c>
      <c r="C273" s="1" t="str">
        <f ca="1">IFERROR(__xludf.DUMMYFUNCTION("""COMPUTED_VALUE"""),"Walmart Hagerstown")</f>
        <v>Walmart Hagerstown</v>
      </c>
      <c r="D273" s="1" t="str">
        <f ca="1">IFERROR(__xludf.DUMMYFUNCTION("""COMPUTED_VALUE"""),"10420 Wal-Mart Dr. Hagerstown MD 21740")</f>
        <v>10420 Wal-Mart Dr. Hagerstown MD 21740</v>
      </c>
      <c r="E273" s="1" t="str">
        <f ca="1">IFERROR(__xludf.DUMMYFUNCTION("""COMPUTED_VALUE"""),"Yes")</f>
        <v>Yes</v>
      </c>
      <c r="F273" s="1" t="str">
        <f ca="1">IFERROR(__xludf.DUMMYFUNCTION("""COMPUTED_VALUE"""),"Pharmacy")</f>
        <v>Pharmacy</v>
      </c>
      <c r="G273" s="1"/>
      <c r="H273" s="1"/>
      <c r="I273" s="2" t="str">
        <f ca="1">IFERROR(__xludf.DUMMYFUNCTION("""COMPUTED_VALUE"""),"https://walmart.com/covidvaccine")</f>
        <v>https://walmart.com/covidvaccine</v>
      </c>
      <c r="J273" s="1"/>
      <c r="K273" s="1" t="str">
        <f ca="1">IFERROR(__xludf.DUMMYFUNCTION("""COMPUTED_VALUE"""),"301-739-7597")</f>
        <v>301-739-7597</v>
      </c>
      <c r="L273" s="1"/>
      <c r="M273" s="1" t="str">
        <f ca="1">IFERROR(__xludf.DUMMYFUNCTION("""COMPUTED_VALUE"""),"Schedule an appointment using the button below")</f>
        <v>Schedule an appointment using the button below</v>
      </c>
      <c r="N273" s="1"/>
      <c r="O273" s="1" t="str">
        <f ca="1">IFERROR(__xludf.DUMMYFUNCTION("""COMPUTED_VALUE"""),"Yes")</f>
        <v>Yes</v>
      </c>
      <c r="P273" s="1" t="str">
        <f ca="1">IFERROR(__xludf.DUMMYFUNCTION("""COMPUTED_VALUE"""),"21740")</f>
        <v>21740</v>
      </c>
      <c r="Q273" s="1" t="str">
        <f ca="1">IFERROR(__xludf.DUMMYFUNCTION("""COMPUTED_VALUE"""),"Yes")</f>
        <v>Yes</v>
      </c>
      <c r="R273" s="1" t="str">
        <f ca="1">IFERROR(__xludf.DUMMYFUNCTION("""COMPUTED_VALUE"""),"No")</f>
        <v>No</v>
      </c>
      <c r="S273" s="1" t="str">
        <f ca="1">IFERROR(__xludf.DUMMYFUNCTION("""COMPUTED_VALUE"""),"No")</f>
        <v>No</v>
      </c>
      <c r="T273" s="1" t="str">
        <f ca="1">IFERROR(__xludf.DUMMYFUNCTION("""COMPUTED_VALUE"""),"Yes")</f>
        <v>Yes</v>
      </c>
    </row>
    <row r="274" spans="1:20" ht="13" x14ac:dyDescent="0.6">
      <c r="A274" s="1" t="str">
        <f ca="1">IFERROR(__xludf.DUMMYFUNCTION("""COMPUTED_VALUE"""),"Washington")</f>
        <v>Washington</v>
      </c>
      <c r="B274" s="1" t="str">
        <f ca="1">IFERROR(__xludf.DUMMYFUNCTION("""COMPUTED_VALUE"""),"Sharpsburg")</f>
        <v>Sharpsburg</v>
      </c>
      <c r="C274" s="1" t="str">
        <f ca="1">IFERROR(__xludf.DUMMYFUNCTION("""COMPUTED_VALUE"""),"Sharpsburg Pharmacy")</f>
        <v>Sharpsburg Pharmacy</v>
      </c>
      <c r="D274" s="1" t="str">
        <f ca="1">IFERROR(__xludf.DUMMYFUNCTION("""COMPUTED_VALUE"""),"17316 Shepherdstown Pike Sharpsburg MD 21782")</f>
        <v>17316 Shepherdstown Pike Sharpsburg MD 21782</v>
      </c>
      <c r="E274" s="1" t="str">
        <f ca="1">IFERROR(__xludf.DUMMYFUNCTION("""COMPUTED_VALUE"""),"Yes")</f>
        <v>Yes</v>
      </c>
      <c r="F274" s="1" t="str">
        <f ca="1">IFERROR(__xludf.DUMMYFUNCTION("""COMPUTED_VALUE"""),"Pharmacy")</f>
        <v>Pharmacy</v>
      </c>
      <c r="G274" s="1"/>
      <c r="H274" s="1"/>
      <c r="I274" s="2" t="str">
        <f ca="1">IFERROR(__xludf.DUMMYFUNCTION("""COMPUTED_VALUE"""),"https://hipaa.jotform.com/210769181190153")</f>
        <v>https://hipaa.jotform.com/210769181190153</v>
      </c>
      <c r="J274" s="1"/>
      <c r="K274" s="1"/>
      <c r="L274" s="1"/>
      <c r="M274" s="1" t="str">
        <f ca="1">IFERROR(__xludf.DUMMYFUNCTION("""COMPUTED_VALUE"""),"Schedule an appointment using the button below")</f>
        <v>Schedule an appointment using the button below</v>
      </c>
      <c r="N274" s="1"/>
      <c r="O274" s="1"/>
      <c r="P274" s="1" t="str">
        <f ca="1">IFERROR(__xludf.DUMMYFUNCTION("""COMPUTED_VALUE"""),"21782")</f>
        <v>21782</v>
      </c>
      <c r="Q274" s="1" t="str">
        <f ca="1">IFERROR(__xludf.DUMMYFUNCTION("""COMPUTED_VALUE"""),"Yes")</f>
        <v>Yes</v>
      </c>
      <c r="R274" s="1" t="str">
        <f ca="1">IFERROR(__xludf.DUMMYFUNCTION("""COMPUTED_VALUE"""),"Yes")</f>
        <v>Yes</v>
      </c>
      <c r="S274" s="1" t="str">
        <f ca="1">IFERROR(__xludf.DUMMYFUNCTION("""COMPUTED_VALUE"""),"Yes")</f>
        <v>Yes</v>
      </c>
      <c r="T274" s="1" t="str">
        <f ca="1">IFERROR(__xludf.DUMMYFUNCTION("""COMPUTED_VALUE"""),"Yes")</f>
        <v>Yes</v>
      </c>
    </row>
    <row r="275" spans="1:20" ht="13" x14ac:dyDescent="0.6">
      <c r="A275" s="1" t="str">
        <f ca="1">IFERROR(__xludf.DUMMYFUNCTION("""COMPUTED_VALUE"""),"Washington")</f>
        <v>Washington</v>
      </c>
      <c r="B275" s="1" t="str">
        <f ca="1">IFERROR(__xludf.DUMMYFUNCTION("""COMPUTED_VALUE"""),"Hagerstown")</f>
        <v>Hagerstown</v>
      </c>
      <c r="C275" s="1" t="str">
        <f ca="1">IFERROR(__xludf.DUMMYFUNCTION("""COMPUTED_VALUE"""),"Weis Pharmacy #81")</f>
        <v>Weis Pharmacy #81</v>
      </c>
      <c r="D275" s="1" t="str">
        <f ca="1">IFERROR(__xludf.DUMMYFUNCTION("""COMPUTED_VALUE"""),"31 Eastern Blvd North Hagerstown, MD 21740")</f>
        <v>31 Eastern Blvd North Hagerstown, MD 21740</v>
      </c>
      <c r="E275" s="1" t="str">
        <f ca="1">IFERROR(__xludf.DUMMYFUNCTION("""COMPUTED_VALUE"""),"Yes")</f>
        <v>Yes</v>
      </c>
      <c r="F275" s="1" t="str">
        <f ca="1">IFERROR(__xludf.DUMMYFUNCTION("""COMPUTED_VALUE"""),"Pharmacy")</f>
        <v>Pharmacy</v>
      </c>
      <c r="G275" s="1"/>
      <c r="H275" s="1"/>
      <c r="I275" s="2" t="str">
        <f ca="1">IFERROR(__xludf.DUMMYFUNCTION("""COMPUTED_VALUE"""),"https://www.weismarkets.com/pharmacy-services")</f>
        <v>https://www.weismarkets.com/pharmacy-services</v>
      </c>
      <c r="J275" s="1"/>
      <c r="K275" s="1"/>
      <c r="L275" s="1"/>
      <c r="M275" s="1" t="str">
        <f ca="1">IFERROR(__xludf.DUMMYFUNCTION("""COMPUTED_VALUE"""),"Schedule an appointment using the button below")</f>
        <v>Schedule an appointment using the button below</v>
      </c>
      <c r="N275" s="1"/>
      <c r="O275" s="1" t="str">
        <f ca="1">IFERROR(__xludf.DUMMYFUNCTION("""COMPUTED_VALUE"""),"Yes")</f>
        <v>Yes</v>
      </c>
      <c r="P275" s="1" t="str">
        <f ca="1">IFERROR(__xludf.DUMMYFUNCTION("""COMPUTED_VALUE"""),"21740")</f>
        <v>21740</v>
      </c>
      <c r="Q275" s="1" t="str">
        <f ca="1">IFERROR(__xludf.DUMMYFUNCTION("""COMPUTED_VALUE"""),"Yes")</f>
        <v>Yes</v>
      </c>
      <c r="R275" s="1" t="str">
        <f ca="1">IFERROR(__xludf.DUMMYFUNCTION("""COMPUTED_VALUE"""),"Yes")</f>
        <v>Yes</v>
      </c>
      <c r="S275" s="1" t="str">
        <f ca="1">IFERROR(__xludf.DUMMYFUNCTION("""COMPUTED_VALUE"""),"Yes")</f>
        <v>Yes</v>
      </c>
      <c r="T275" s="1" t="str">
        <f ca="1">IFERROR(__xludf.DUMMYFUNCTION("""COMPUTED_VALUE"""),"Yes")</f>
        <v>Yes</v>
      </c>
    </row>
    <row r="276" spans="1:20" ht="13" x14ac:dyDescent="0.6">
      <c r="A276" s="1" t="str">
        <f ca="1">IFERROR(__xludf.DUMMYFUNCTION("""COMPUTED_VALUE"""),"Washington")</f>
        <v>Washington</v>
      </c>
      <c r="B276" s="1" t="str">
        <f ca="1">IFERROR(__xludf.DUMMYFUNCTION("""COMPUTED_VALUE"""),"Boonsboro")</f>
        <v>Boonsboro</v>
      </c>
      <c r="C276" s="1" t="str">
        <f ca="1">IFERROR(__xludf.DUMMYFUNCTION("""COMPUTED_VALUE"""),"Weis Pharmacy #178")</f>
        <v>Weis Pharmacy #178</v>
      </c>
      <c r="D276" s="1" t="str">
        <f ca="1">IFERROR(__xludf.DUMMYFUNCTION("""COMPUTED_VALUE"""),"700 Chase Six Boulevard Boonsboro, MD 21713")</f>
        <v>700 Chase Six Boulevard Boonsboro, MD 21713</v>
      </c>
      <c r="E276" s="1" t="str">
        <f ca="1">IFERROR(__xludf.DUMMYFUNCTION("""COMPUTED_VALUE"""),"Yes")</f>
        <v>Yes</v>
      </c>
      <c r="F276" s="1" t="str">
        <f ca="1">IFERROR(__xludf.DUMMYFUNCTION("""COMPUTED_VALUE"""),"Pharmacy")</f>
        <v>Pharmacy</v>
      </c>
      <c r="G276" s="1"/>
      <c r="H276" s="1"/>
      <c r="I276" s="2" t="str">
        <f ca="1">IFERROR(__xludf.DUMMYFUNCTION("""COMPUTED_VALUE"""),"https://www.weismarkets.com/pharmacy-services")</f>
        <v>https://www.weismarkets.com/pharmacy-services</v>
      </c>
      <c r="J276" s="1"/>
      <c r="K276" s="1"/>
      <c r="L276" s="1"/>
      <c r="M276" s="1" t="str">
        <f ca="1">IFERROR(__xludf.DUMMYFUNCTION("""COMPUTED_VALUE"""),"Schedule an appointment using the button below")</f>
        <v>Schedule an appointment using the button below</v>
      </c>
      <c r="N276" s="1"/>
      <c r="O276" s="1" t="str">
        <f ca="1">IFERROR(__xludf.DUMMYFUNCTION("""COMPUTED_VALUE"""),"Yes")</f>
        <v>Yes</v>
      </c>
      <c r="P276" s="1" t="str">
        <f ca="1">IFERROR(__xludf.DUMMYFUNCTION("""COMPUTED_VALUE"""),"21713")</f>
        <v>21713</v>
      </c>
      <c r="Q276" s="1" t="str">
        <f ca="1">IFERROR(__xludf.DUMMYFUNCTION("""COMPUTED_VALUE"""),"Yes")</f>
        <v>Yes</v>
      </c>
      <c r="R276" s="1" t="str">
        <f ca="1">IFERROR(__xludf.DUMMYFUNCTION("""COMPUTED_VALUE"""),"Yes")</f>
        <v>Yes</v>
      </c>
      <c r="S276" s="1" t="str">
        <f ca="1">IFERROR(__xludf.DUMMYFUNCTION("""COMPUTED_VALUE"""),"Yes")</f>
        <v>Yes</v>
      </c>
      <c r="T276" s="1" t="str">
        <f ca="1">IFERROR(__xludf.DUMMYFUNCTION("""COMPUTED_VALUE"""),"Yes")</f>
        <v>Yes</v>
      </c>
    </row>
    <row r="277" spans="1:20" ht="13" x14ac:dyDescent="0.6">
      <c r="A277" s="1" t="str">
        <f ca="1">IFERROR(__xludf.DUMMYFUNCTION("""COMPUTED_VALUE"""),"Washington")</f>
        <v>Washington</v>
      </c>
      <c r="B277" s="1" t="str">
        <f ca="1">IFERROR(__xludf.DUMMYFUNCTION("""COMPUTED_VALUE"""),"Hagerstown")</f>
        <v>Hagerstown</v>
      </c>
      <c r="C277" s="1" t="str">
        <f ca="1">IFERROR(__xludf.DUMMYFUNCTION("""COMPUTED_VALUE"""),"Sam's Club Hagerstown")</f>
        <v>Sam's Club Hagerstown</v>
      </c>
      <c r="D277" s="1" t="str">
        <f ca="1">IFERROR(__xludf.DUMMYFUNCTION("""COMPUTED_VALUE"""),"1700 Wesel Blvd Hagerstown, MD 21740")</f>
        <v>1700 Wesel Blvd Hagerstown, MD 21740</v>
      </c>
      <c r="E277" s="1" t="str">
        <f ca="1">IFERROR(__xludf.DUMMYFUNCTION("""COMPUTED_VALUE"""),"Yes")</f>
        <v>Yes</v>
      </c>
      <c r="F277" s="1" t="str">
        <f ca="1">IFERROR(__xludf.DUMMYFUNCTION("""COMPUTED_VALUE"""),"Pharmacy")</f>
        <v>Pharmacy</v>
      </c>
      <c r="G277" s="1"/>
      <c r="H277" s="1"/>
      <c r="I277" s="2" t="str">
        <f ca="1">IFERROR(__xludf.DUMMYFUNCTION("""COMPUTED_VALUE"""),"https://www.samsclub.com/pharmacy")</f>
        <v>https://www.samsclub.com/pharmacy</v>
      </c>
      <c r="J277" s="1"/>
      <c r="K277" s="1" t="str">
        <f ca="1">IFERROR(__xludf.DUMMYFUNCTION("""COMPUTED_VALUE"""),"301-393-3786")</f>
        <v>301-393-3786</v>
      </c>
      <c r="L277" s="1"/>
      <c r="M277" s="1" t="str">
        <f ca="1">IFERROR(__xludf.DUMMYFUNCTION("""COMPUTED_VALUE"""),"Schedule an appointment using the button below")</f>
        <v>Schedule an appointment using the button below</v>
      </c>
      <c r="N277" s="1"/>
      <c r="O277" s="1"/>
      <c r="P277" s="1" t="str">
        <f ca="1">IFERROR(__xludf.DUMMYFUNCTION("""COMPUTED_VALUE"""),"21740")</f>
        <v>21740</v>
      </c>
      <c r="Q277" s="1" t="str">
        <f ca="1">IFERROR(__xludf.DUMMYFUNCTION("""COMPUTED_VALUE"""),"No")</f>
        <v>No</v>
      </c>
      <c r="R277" s="1" t="str">
        <f ca="1">IFERROR(__xludf.DUMMYFUNCTION("""COMPUTED_VALUE"""),"Yes")</f>
        <v>Yes</v>
      </c>
      <c r="S277" s="1" t="str">
        <f ca="1">IFERROR(__xludf.DUMMYFUNCTION("""COMPUTED_VALUE"""),"Yes")</f>
        <v>Yes</v>
      </c>
      <c r="T277" s="1" t="str">
        <f ca="1">IFERROR(__xludf.DUMMYFUNCTION("""COMPUTED_VALUE"""),"Yes")</f>
        <v>Yes</v>
      </c>
    </row>
    <row r="278" spans="1:20" ht="13" x14ac:dyDescent="0.6">
      <c r="A278" s="1" t="str">
        <f ca="1">IFERROR(__xludf.DUMMYFUNCTION("""COMPUTED_VALUE"""),"Washington")</f>
        <v>Washington</v>
      </c>
      <c r="B278" s="1" t="str">
        <f ca="1">IFERROR(__xludf.DUMMYFUNCTION("""COMPUTED_VALUE"""),"Hagerstown")</f>
        <v>Hagerstown</v>
      </c>
      <c r="C278" s="1" t="str">
        <f ca="1">IFERROR(__xludf.DUMMYFUNCTION("""COMPUTED_VALUE"""),"CVS Hagerstown")</f>
        <v>CVS Hagerstown</v>
      </c>
      <c r="D278" s="1" t="str">
        <f ca="1">IFERROR(__xludf.DUMMYFUNCTION("""COMPUTED_VALUE"""),"10 East Wilson Boulevard, Hagerstown, MD 21740")</f>
        <v>10 East Wilson Boulevard, Hagerstown, MD 21740</v>
      </c>
      <c r="E278" s="1" t="str">
        <f ca="1">IFERROR(__xludf.DUMMYFUNCTION("""COMPUTED_VALUE"""),"Yes")</f>
        <v>Yes</v>
      </c>
      <c r="F278" s="1" t="str">
        <f ca="1">IFERROR(__xludf.DUMMYFUNCTION("""COMPUTED_VALUE"""),"Pharmacy")</f>
        <v>Pharmacy</v>
      </c>
      <c r="G278" s="1"/>
      <c r="H278" s="1"/>
      <c r="I278" s="2" t="str">
        <f ca="1">IFERROR(__xludf.DUMMYFUNCTION("""COMPUTED_VALUE"""),"https://www.cvs.com/immunizations/covid-19-vaccine")</f>
        <v>https://www.cvs.com/immunizations/covid-19-vaccine</v>
      </c>
      <c r="J278" s="1" t="str">
        <f ca="1">IFERROR(__xludf.DUMMYFUNCTION("""COMPUTED_VALUE"""),"Yes")</f>
        <v>Yes</v>
      </c>
      <c r="K278" s="1" t="str">
        <f ca="1">IFERROR(__xludf.DUMMYFUNCTION("""COMPUTED_VALUE"""),"800-746-7287")</f>
        <v>800-746-7287</v>
      </c>
      <c r="L278" s="1"/>
      <c r="M278" s="1" t="str">
        <f ca="1">IFERROR(__xludf.DUMMYFUNCTION("""COMPUTED_VALUE"""),"Schedule an appointment using the button below")</f>
        <v>Schedule an appointment using the button below</v>
      </c>
      <c r="N278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78" s="1" t="str">
        <f ca="1">IFERROR(__xludf.DUMMYFUNCTION("""COMPUTED_VALUE"""),"Yes")</f>
        <v>Yes</v>
      </c>
      <c r="P278" s="1" t="str">
        <f ca="1">IFERROR(__xludf.DUMMYFUNCTION("""COMPUTED_VALUE"""),"21740")</f>
        <v>21740</v>
      </c>
      <c r="Q278" s="1" t="str">
        <f ca="1">IFERROR(__xludf.DUMMYFUNCTION("""COMPUTED_VALUE"""),"Yes")</f>
        <v>Yes</v>
      </c>
      <c r="R278" s="1" t="str">
        <f ca="1">IFERROR(__xludf.DUMMYFUNCTION("""COMPUTED_VALUE"""),"No")</f>
        <v>No</v>
      </c>
      <c r="S278" s="1" t="str">
        <f ca="1">IFERROR(__xludf.DUMMYFUNCTION("""COMPUTED_VALUE"""),"No")</f>
        <v>No</v>
      </c>
      <c r="T278" s="1" t="str">
        <f ca="1">IFERROR(__xludf.DUMMYFUNCTION("""COMPUTED_VALUE"""),"Yes")</f>
        <v>Yes</v>
      </c>
    </row>
    <row r="279" spans="1:20" ht="13" x14ac:dyDescent="0.6">
      <c r="A279" s="1" t="str">
        <f ca="1">IFERROR(__xludf.DUMMYFUNCTION("""COMPUTED_VALUE"""),"Washington")</f>
        <v>Washington</v>
      </c>
      <c r="B279" s="1" t="str">
        <f ca="1">IFERROR(__xludf.DUMMYFUNCTION("""COMPUTED_VALUE"""),"Hagerstown")</f>
        <v>Hagerstown</v>
      </c>
      <c r="C279" s="1" t="str">
        <f ca="1">IFERROR(__xludf.DUMMYFUNCTION("""COMPUTED_VALUE"""),"Weis Pharmacy Hagerstown")</f>
        <v>Weis Pharmacy Hagerstown</v>
      </c>
      <c r="D279" s="1" t="str">
        <f ca="1">IFERROR(__xludf.DUMMYFUNCTION("""COMPUTED_VALUE"""),"12817 Shank Farm Way Hagerstown, MD 21742")</f>
        <v>12817 Shank Farm Way Hagerstown, MD 21742</v>
      </c>
      <c r="E279" s="1" t="str">
        <f ca="1">IFERROR(__xludf.DUMMYFUNCTION("""COMPUTED_VALUE"""),"Yes")</f>
        <v>Yes</v>
      </c>
      <c r="F279" s="1" t="str">
        <f ca="1">IFERROR(__xludf.DUMMYFUNCTION("""COMPUTED_VALUE"""),"Pharmacy")</f>
        <v>Pharmacy</v>
      </c>
      <c r="G279" s="1"/>
      <c r="H279" s="1"/>
      <c r="I279" s="2" t="str">
        <f ca="1">IFERROR(__xludf.DUMMYFUNCTION("""COMPUTED_VALUE"""),"https://www.weismarkets.com/pharmacy-services")</f>
        <v>https://www.weismarkets.com/pharmacy-services</v>
      </c>
      <c r="J279" s="1"/>
      <c r="K279" s="1"/>
      <c r="L279" s="1"/>
      <c r="M279" s="1" t="str">
        <f ca="1">IFERROR(__xludf.DUMMYFUNCTION("""COMPUTED_VALUE"""),"Schedule an appointment using the button below")</f>
        <v>Schedule an appointment using the button below</v>
      </c>
      <c r="N279" s="1"/>
      <c r="O279" s="1" t="str">
        <f ca="1">IFERROR(__xludf.DUMMYFUNCTION("""COMPUTED_VALUE"""),"Yes")</f>
        <v>Yes</v>
      </c>
      <c r="P279" s="1" t="str">
        <f ca="1">IFERROR(__xludf.DUMMYFUNCTION("""COMPUTED_VALUE"""),"21742")</f>
        <v>21742</v>
      </c>
      <c r="Q279" s="1" t="str">
        <f ca="1">IFERROR(__xludf.DUMMYFUNCTION("""COMPUTED_VALUE"""),"Yes")</f>
        <v>Yes</v>
      </c>
      <c r="R279" s="1" t="str">
        <f ca="1">IFERROR(__xludf.DUMMYFUNCTION("""COMPUTED_VALUE"""),"Yes")</f>
        <v>Yes</v>
      </c>
      <c r="S279" s="1" t="str">
        <f ca="1">IFERROR(__xludf.DUMMYFUNCTION("""COMPUTED_VALUE"""),"Yes")</f>
        <v>Yes</v>
      </c>
      <c r="T279" s="1" t="str">
        <f ca="1">IFERROR(__xludf.DUMMYFUNCTION("""COMPUTED_VALUE"""),"Yes")</f>
        <v>Yes</v>
      </c>
    </row>
    <row r="280" spans="1:20" ht="13" x14ac:dyDescent="0.6">
      <c r="A280" s="1" t="str">
        <f ca="1">IFERROR(__xludf.DUMMYFUNCTION("""COMPUTED_VALUE"""),"Washington")</f>
        <v>Washington</v>
      </c>
      <c r="B280" s="1" t="str">
        <f ca="1">IFERROR(__xludf.DUMMYFUNCTION("""COMPUTED_VALUE"""),"Hagerstown")</f>
        <v>Hagerstown</v>
      </c>
      <c r="C280" s="1" t="str">
        <f ca="1">IFERROR(__xludf.DUMMYFUNCTION("""COMPUTED_VALUE"""),"CVS Hagerstown")</f>
        <v>CVS Hagerstown</v>
      </c>
      <c r="D280" s="1" t="str">
        <f ca="1">IFERROR(__xludf.DUMMYFUNCTION("""COMPUTED_VALUE"""),"18700 North Village Hagerstown, MD 21742")</f>
        <v>18700 North Village Hagerstown, MD 21742</v>
      </c>
      <c r="E280" s="1" t="str">
        <f ca="1">IFERROR(__xludf.DUMMYFUNCTION("""COMPUTED_VALUE"""),"Yes")</f>
        <v>Yes</v>
      </c>
      <c r="F280" s="1" t="str">
        <f ca="1">IFERROR(__xludf.DUMMYFUNCTION("""COMPUTED_VALUE"""),"Pharmacy")</f>
        <v>Pharmacy</v>
      </c>
      <c r="G280" s="1"/>
      <c r="H280" s="1"/>
      <c r="I280" s="2" t="str">
        <f ca="1">IFERROR(__xludf.DUMMYFUNCTION("""COMPUTED_VALUE"""),"https://www.cvs.com/immunizations/covid-19-vaccine")</f>
        <v>https://www.cvs.com/immunizations/covid-19-vaccine</v>
      </c>
      <c r="J280" s="1" t="str">
        <f ca="1">IFERROR(__xludf.DUMMYFUNCTION("""COMPUTED_VALUE"""),"Yes")</f>
        <v>Yes</v>
      </c>
      <c r="K280" s="1" t="str">
        <f ca="1">IFERROR(__xludf.DUMMYFUNCTION("""COMPUTED_VALUE"""),"800-746-7287")</f>
        <v>800-746-7287</v>
      </c>
      <c r="L280" s="1"/>
      <c r="M280" s="1" t="str">
        <f ca="1">IFERROR(__xludf.DUMMYFUNCTION("""COMPUTED_VALUE"""),"Schedule an appointment using the button below")</f>
        <v>Schedule an appointment using the button below</v>
      </c>
      <c r="N280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80" s="1" t="str">
        <f ca="1">IFERROR(__xludf.DUMMYFUNCTION("""COMPUTED_VALUE"""),"Yes")</f>
        <v>Yes</v>
      </c>
      <c r="P280" s="1" t="str">
        <f ca="1">IFERROR(__xludf.DUMMYFUNCTION("""COMPUTED_VALUE"""),"21742")</f>
        <v>21742</v>
      </c>
      <c r="Q280" s="1" t="str">
        <f ca="1">IFERROR(__xludf.DUMMYFUNCTION("""COMPUTED_VALUE"""),"Yes")</f>
        <v>Yes</v>
      </c>
      <c r="R280" s="1" t="str">
        <f ca="1">IFERROR(__xludf.DUMMYFUNCTION("""COMPUTED_VALUE"""),"No")</f>
        <v>No</v>
      </c>
      <c r="S280" s="1" t="str">
        <f ca="1">IFERROR(__xludf.DUMMYFUNCTION("""COMPUTED_VALUE"""),"No")</f>
        <v>No</v>
      </c>
      <c r="T280" s="1" t="str">
        <f ca="1">IFERROR(__xludf.DUMMYFUNCTION("""COMPUTED_VALUE"""),"Yes")</f>
        <v>Yes</v>
      </c>
    </row>
    <row r="281" spans="1:20" ht="13" x14ac:dyDescent="0.6">
      <c r="A281" s="1" t="str">
        <f ca="1">IFERROR(__xludf.DUMMYFUNCTION("""COMPUTED_VALUE"""),"Wicomico")</f>
        <v>Wicomico</v>
      </c>
      <c r="B281" s="1" t="str">
        <f ca="1">IFERROR(__xludf.DUMMYFUNCTION("""COMPUTED_VALUE"""),"Salisbury")</f>
        <v>Salisbury</v>
      </c>
      <c r="C281" s="1" t="str">
        <f ca="1">IFERROR(__xludf.DUMMYFUNCTION("""COMPUTED_VALUE"""),"Walmart Salisbury")</f>
        <v>Walmart Salisbury</v>
      </c>
      <c r="D281" s="1" t="str">
        <f ca="1">IFERROR(__xludf.DUMMYFUNCTION("""COMPUTED_VALUE"""),"2702 N Salisbury Blvd Salisbury MD 21801-2143")</f>
        <v>2702 N Salisbury Blvd Salisbury MD 21801-2143</v>
      </c>
      <c r="E281" s="1" t="str">
        <f ca="1">IFERROR(__xludf.DUMMYFUNCTION("""COMPUTED_VALUE"""),"Yes")</f>
        <v>Yes</v>
      </c>
      <c r="F281" s="1" t="str">
        <f ca="1">IFERROR(__xludf.DUMMYFUNCTION("""COMPUTED_VALUE"""),"Pharmacy")</f>
        <v>Pharmacy</v>
      </c>
      <c r="G281" s="1"/>
      <c r="H281" s="1"/>
      <c r="I281" s="2" t="str">
        <f ca="1">IFERROR(__xludf.DUMMYFUNCTION("""COMPUTED_VALUE"""),"https://walmart.com/covidvaccine")</f>
        <v>https://walmart.com/covidvaccine</v>
      </c>
      <c r="J281" s="1"/>
      <c r="K281" s="1" t="str">
        <f ca="1">IFERROR(__xludf.DUMMYFUNCTION("""COMPUTED_VALUE"""),"410-860-5323")</f>
        <v>410-860-5323</v>
      </c>
      <c r="L281" s="1"/>
      <c r="M281" s="1" t="str">
        <f ca="1">IFERROR(__xludf.DUMMYFUNCTION("""COMPUTED_VALUE"""),"Schedule an appointment using the button below")</f>
        <v>Schedule an appointment using the button below</v>
      </c>
      <c r="N281" s="1"/>
      <c r="O281" s="1"/>
      <c r="P281" s="1" t="str">
        <f ca="1">IFERROR(__xludf.DUMMYFUNCTION("""COMPUTED_VALUE"""),"-2143")</f>
        <v>-2143</v>
      </c>
      <c r="Q281" s="1" t="str">
        <f ca="1">IFERROR(__xludf.DUMMYFUNCTION("""COMPUTED_VALUE"""),"Yes")</f>
        <v>Yes</v>
      </c>
      <c r="R281" s="1" t="str">
        <f ca="1">IFERROR(__xludf.DUMMYFUNCTION("""COMPUTED_VALUE"""),"Yes")</f>
        <v>Yes</v>
      </c>
      <c r="S281" s="1" t="str">
        <f ca="1">IFERROR(__xludf.DUMMYFUNCTION("""COMPUTED_VALUE"""),"No")</f>
        <v>No</v>
      </c>
      <c r="T281" s="1" t="str">
        <f ca="1">IFERROR(__xludf.DUMMYFUNCTION("""COMPUTED_VALUE"""),"Yes")</f>
        <v>Yes</v>
      </c>
    </row>
    <row r="282" spans="1:20" ht="13" x14ac:dyDescent="0.6">
      <c r="A282" s="1" t="str">
        <f ca="1">IFERROR(__xludf.DUMMYFUNCTION("""COMPUTED_VALUE"""),"Wicomico")</f>
        <v>Wicomico</v>
      </c>
      <c r="B282" s="1" t="str">
        <f ca="1">IFERROR(__xludf.DUMMYFUNCTION("""COMPUTED_VALUE"""),"Fruitland")</f>
        <v>Fruitland</v>
      </c>
      <c r="C282" s="1" t="str">
        <f ca="1">IFERROR(__xludf.DUMMYFUNCTION("""COMPUTED_VALUE"""),"Walmart Fruitland")</f>
        <v>Walmart Fruitland</v>
      </c>
      <c r="D282" s="1" t="str">
        <f ca="1">IFERROR(__xludf.DUMMYFUNCTION("""COMPUTED_VALUE"""),"409 N Fruitland Blvd Salisbury MD 21801-7201")</f>
        <v>409 N Fruitland Blvd Salisbury MD 21801-7201</v>
      </c>
      <c r="E282" s="1" t="str">
        <f ca="1">IFERROR(__xludf.DUMMYFUNCTION("""COMPUTED_VALUE"""),"Yes")</f>
        <v>Yes</v>
      </c>
      <c r="F282" s="1" t="str">
        <f ca="1">IFERROR(__xludf.DUMMYFUNCTION("""COMPUTED_VALUE"""),"Pharmacy")</f>
        <v>Pharmacy</v>
      </c>
      <c r="G282" s="1"/>
      <c r="H282" s="1"/>
      <c r="I282" s="2" t="str">
        <f ca="1">IFERROR(__xludf.DUMMYFUNCTION("""COMPUTED_VALUE"""),"https://walmart.com/covidvaccine")</f>
        <v>https://walmart.com/covidvaccine</v>
      </c>
      <c r="J282" s="1"/>
      <c r="K282" s="1" t="str">
        <f ca="1">IFERROR(__xludf.DUMMYFUNCTION("""COMPUTED_VALUE"""),"410-341-6208")</f>
        <v>410-341-6208</v>
      </c>
      <c r="L282" s="1"/>
      <c r="M282" s="1" t="str">
        <f ca="1">IFERROR(__xludf.DUMMYFUNCTION("""COMPUTED_VALUE"""),"Schedule an appointment using the button below")</f>
        <v>Schedule an appointment using the button below</v>
      </c>
      <c r="N282" s="1"/>
      <c r="O282" s="1"/>
      <c r="P282" s="1" t="str">
        <f ca="1">IFERROR(__xludf.DUMMYFUNCTION("""COMPUTED_VALUE"""),"-7201")</f>
        <v>-7201</v>
      </c>
      <c r="Q282" s="1" t="str">
        <f ca="1">IFERROR(__xludf.DUMMYFUNCTION("""COMPUTED_VALUE"""),"Yes")</f>
        <v>Yes</v>
      </c>
      <c r="R282" s="1" t="str">
        <f ca="1">IFERROR(__xludf.DUMMYFUNCTION("""COMPUTED_VALUE"""),"Yes")</f>
        <v>Yes</v>
      </c>
      <c r="S282" s="1" t="str">
        <f ca="1">IFERROR(__xludf.DUMMYFUNCTION("""COMPUTED_VALUE"""),"No")</f>
        <v>No</v>
      </c>
      <c r="T282" s="1" t="str">
        <f ca="1">IFERROR(__xludf.DUMMYFUNCTION("""COMPUTED_VALUE"""),"Yes")</f>
        <v>Yes</v>
      </c>
    </row>
    <row r="283" spans="1:20" ht="13" x14ac:dyDescent="0.6">
      <c r="A283" s="1" t="str">
        <f ca="1">IFERROR(__xludf.DUMMYFUNCTION("""COMPUTED_VALUE"""),"Wicomico")</f>
        <v>Wicomico</v>
      </c>
      <c r="B283" s="1" t="str">
        <f ca="1">IFERROR(__xludf.DUMMYFUNCTION("""COMPUTED_VALUE"""),"Salisbury")</f>
        <v>Salisbury</v>
      </c>
      <c r="C283" s="1" t="str">
        <f ca="1">IFERROR(__xludf.DUMMYFUNCTION("""COMPUTED_VALUE"""),"Sam's Club Salisbury")</f>
        <v>Sam's Club Salisbury</v>
      </c>
      <c r="D283" s="1" t="str">
        <f ca="1">IFERROR(__xludf.DUMMYFUNCTION("""COMPUTED_VALUE"""),"2700 N Salisbury Blvd Salisbury MD 21801-2143")</f>
        <v>2700 N Salisbury Blvd Salisbury MD 21801-2143</v>
      </c>
      <c r="E283" s="1" t="str">
        <f ca="1">IFERROR(__xludf.DUMMYFUNCTION("""COMPUTED_VALUE"""),"Yes")</f>
        <v>Yes</v>
      </c>
      <c r="F283" s="1" t="str">
        <f ca="1">IFERROR(__xludf.DUMMYFUNCTION("""COMPUTED_VALUE"""),"Pharmacy")</f>
        <v>Pharmacy</v>
      </c>
      <c r="G283" s="1"/>
      <c r="H283" s="1"/>
      <c r="I283" s="2" t="str">
        <f ca="1">IFERROR(__xludf.DUMMYFUNCTION("""COMPUTED_VALUE"""),"https://www.samsclub.com/pharmacy")</f>
        <v>https://www.samsclub.com/pharmacy</v>
      </c>
      <c r="J283" s="1"/>
      <c r="K283" s="1" t="str">
        <f ca="1">IFERROR(__xludf.DUMMYFUNCTION("""COMPUTED_VALUE"""),"410-546-1984")</f>
        <v>410-546-1984</v>
      </c>
      <c r="L283" s="1"/>
      <c r="M283" s="1" t="str">
        <f ca="1">IFERROR(__xludf.DUMMYFUNCTION("""COMPUTED_VALUE"""),"Schedule an appointment using the button below")</f>
        <v>Schedule an appointment using the button below</v>
      </c>
      <c r="N283" s="1"/>
      <c r="O283" s="1"/>
      <c r="P283" s="1" t="str">
        <f ca="1">IFERROR(__xludf.DUMMYFUNCTION("""COMPUTED_VALUE"""),"-2143")</f>
        <v>-2143</v>
      </c>
      <c r="Q283" s="1" t="str">
        <f ca="1">IFERROR(__xludf.DUMMYFUNCTION("""COMPUTED_VALUE"""),"Yes")</f>
        <v>Yes</v>
      </c>
      <c r="R283" s="1" t="str">
        <f ca="1">IFERROR(__xludf.DUMMYFUNCTION("""COMPUTED_VALUE"""),"Yes")</f>
        <v>Yes</v>
      </c>
      <c r="S283" s="1" t="str">
        <f ca="1">IFERROR(__xludf.DUMMYFUNCTION("""COMPUTED_VALUE"""),"No")</f>
        <v>No</v>
      </c>
      <c r="T283" s="1" t="str">
        <f ca="1">IFERROR(__xludf.DUMMYFUNCTION("""COMPUTED_VALUE"""),"Yes")</f>
        <v>Yes</v>
      </c>
    </row>
    <row r="284" spans="1:20" ht="13" x14ac:dyDescent="0.6">
      <c r="A284" s="1" t="str">
        <f ca="1">IFERROR(__xludf.DUMMYFUNCTION("""COMPUTED_VALUE"""),"Wicomico")</f>
        <v>Wicomico</v>
      </c>
      <c r="B284" s="1" t="str">
        <f ca="1">IFERROR(__xludf.DUMMYFUNCTION("""COMPUTED_VALUE"""),"Salisbury")</f>
        <v>Salisbury</v>
      </c>
      <c r="C284" s="1" t="str">
        <f ca="1">IFERROR(__xludf.DUMMYFUNCTION("""COMPUTED_VALUE"""),"Rite Aid Salisbury (Parsons Road)")</f>
        <v>Rite Aid Salisbury (Parsons Road)</v>
      </c>
      <c r="D284" s="1" t="str">
        <f ca="1">IFERROR(__xludf.DUMMYFUNCTION("""COMPUTED_VALUE"""),"1208 Parsons Road Salisbury, MD 21801")</f>
        <v>1208 Parsons Road Salisbury, MD 21801</v>
      </c>
      <c r="E284" s="1" t="str">
        <f ca="1">IFERROR(__xludf.DUMMYFUNCTION("""COMPUTED_VALUE"""),"Yes")</f>
        <v>Yes</v>
      </c>
      <c r="F284" s="1" t="str">
        <f ca="1">IFERROR(__xludf.DUMMYFUNCTION("""COMPUTED_VALUE"""),"Pharmacy")</f>
        <v>Pharmacy</v>
      </c>
      <c r="G284" s="1"/>
      <c r="H284" s="1"/>
      <c r="I284" s="2" t="str">
        <f ca="1">IFERROR(__xludf.DUMMYFUNCTION("""COMPUTED_VALUE"""),"https://www.riteaid.com/pharmacy/covid-qualifier")</f>
        <v>https://www.riteaid.com/pharmacy/covid-qualifier</v>
      </c>
      <c r="J284" s="1"/>
      <c r="K284" s="1"/>
      <c r="L284" s="1"/>
      <c r="M284" s="1" t="str">
        <f ca="1">IFERROR(__xludf.DUMMYFUNCTION("""COMPUTED_VALUE"""),"Schedule an appointment using the button below")</f>
        <v>Schedule an appointment using the button below</v>
      </c>
      <c r="N284" s="1"/>
      <c r="O284" s="1"/>
      <c r="P284" s="1" t="str">
        <f ca="1">IFERROR(__xludf.DUMMYFUNCTION("""COMPUTED_VALUE"""),"21801")</f>
        <v>21801</v>
      </c>
      <c r="Q284" s="1" t="str">
        <f ca="1">IFERROR(__xludf.DUMMYFUNCTION("""COMPUTED_VALUE"""),"Yes")</f>
        <v>Yes</v>
      </c>
      <c r="R284" s="1" t="str">
        <f ca="1">IFERROR(__xludf.DUMMYFUNCTION("""COMPUTED_VALUE"""),"Yes")</f>
        <v>Yes</v>
      </c>
      <c r="S284" s="1" t="str">
        <f ca="1">IFERROR(__xludf.DUMMYFUNCTION("""COMPUTED_VALUE"""),"No")</f>
        <v>No</v>
      </c>
      <c r="T284" s="1" t="str">
        <f ca="1">IFERROR(__xludf.DUMMYFUNCTION("""COMPUTED_VALUE"""),"Yes")</f>
        <v>Yes</v>
      </c>
    </row>
    <row r="285" spans="1:20" ht="13" x14ac:dyDescent="0.6">
      <c r="A285" s="1" t="str">
        <f ca="1">IFERROR(__xludf.DUMMYFUNCTION("""COMPUTED_VALUE"""),"Wicomico")</f>
        <v>Wicomico</v>
      </c>
      <c r="B285" s="1" t="str">
        <f ca="1">IFERROR(__xludf.DUMMYFUNCTION("""COMPUTED_VALUE"""),"Salisbury")</f>
        <v>Salisbury</v>
      </c>
      <c r="C285" s="1" t="str">
        <f ca="1">IFERROR(__xludf.DUMMYFUNCTION("""COMPUTED_VALUE"""),"Rite Aid Salisbury (South Salisbury Blvd)")</f>
        <v>Rite Aid Salisbury (South Salisbury Blvd)</v>
      </c>
      <c r="D285" s="1" t="str">
        <f ca="1">IFERROR(__xludf.DUMMYFUNCTION("""COMPUTED_VALUE"""),"833 South Salisbury Blvd. Salisbury, MD 21801")</f>
        <v>833 South Salisbury Blvd. Salisbury, MD 21801</v>
      </c>
      <c r="E285" s="1" t="str">
        <f ca="1">IFERROR(__xludf.DUMMYFUNCTION("""COMPUTED_VALUE"""),"Yes")</f>
        <v>Yes</v>
      </c>
      <c r="F285" s="1" t="str">
        <f ca="1">IFERROR(__xludf.DUMMYFUNCTION("""COMPUTED_VALUE"""),"Pharmacy")</f>
        <v>Pharmacy</v>
      </c>
      <c r="G285" s="1"/>
      <c r="H285" s="1"/>
      <c r="I285" s="2" t="str">
        <f ca="1">IFERROR(__xludf.DUMMYFUNCTION("""COMPUTED_VALUE"""),"https://www.riteaid.com/pharmacy/covid-qualifier")</f>
        <v>https://www.riteaid.com/pharmacy/covid-qualifier</v>
      </c>
      <c r="J285" s="1"/>
      <c r="K285" s="1"/>
      <c r="L285" s="1"/>
      <c r="M285" s="1" t="str">
        <f ca="1">IFERROR(__xludf.DUMMYFUNCTION("""COMPUTED_VALUE"""),"Schedule an appointment using the button below")</f>
        <v>Schedule an appointment using the button below</v>
      </c>
      <c r="N285" s="1"/>
      <c r="O285" s="1"/>
      <c r="P285" s="1" t="str">
        <f ca="1">IFERROR(__xludf.DUMMYFUNCTION("""COMPUTED_VALUE"""),"21801")</f>
        <v>21801</v>
      </c>
      <c r="Q285" s="1" t="str">
        <f ca="1">IFERROR(__xludf.DUMMYFUNCTION("""COMPUTED_VALUE"""),"Yes")</f>
        <v>Yes</v>
      </c>
      <c r="R285" s="1" t="str">
        <f ca="1">IFERROR(__xludf.DUMMYFUNCTION("""COMPUTED_VALUE"""),"Yes")</f>
        <v>Yes</v>
      </c>
      <c r="S285" s="1" t="str">
        <f ca="1">IFERROR(__xludf.DUMMYFUNCTION("""COMPUTED_VALUE"""),"Yes")</f>
        <v>Yes</v>
      </c>
      <c r="T285" s="1" t="str">
        <f ca="1">IFERROR(__xludf.DUMMYFUNCTION("""COMPUTED_VALUE"""),"Yes")</f>
        <v>Yes</v>
      </c>
    </row>
    <row r="286" spans="1:20" ht="13" x14ac:dyDescent="0.6">
      <c r="A286" s="1" t="str">
        <f ca="1">IFERROR(__xludf.DUMMYFUNCTION("""COMPUTED_VALUE"""),"Wicomico")</f>
        <v>Wicomico</v>
      </c>
      <c r="B286" s="1" t="str">
        <f ca="1">IFERROR(__xludf.DUMMYFUNCTION("""COMPUTED_VALUE"""),"Salisbury")</f>
        <v>Salisbury</v>
      </c>
      <c r="C286" s="1" t="str">
        <f ca="1">IFERROR(__xludf.DUMMYFUNCTION("""COMPUTED_VALUE"""),"Pemberton Pharmacy &amp; Gift")</f>
        <v>Pemberton Pharmacy &amp; Gift</v>
      </c>
      <c r="D286" s="1" t="str">
        <f ca="1">IFERROR(__xludf.DUMMYFUNCTION("""COMPUTED_VALUE"""),"1147 Pemberton Dr Salisbury, MD 21801")</f>
        <v>1147 Pemberton Dr Salisbury, MD 21801</v>
      </c>
      <c r="E286" s="1" t="str">
        <f ca="1">IFERROR(__xludf.DUMMYFUNCTION("""COMPUTED_VALUE"""),"Yes")</f>
        <v>Yes</v>
      </c>
      <c r="F286" s="1" t="str">
        <f ca="1">IFERROR(__xludf.DUMMYFUNCTION("""COMPUTED_VALUE"""),"Pharmacy")</f>
        <v>Pharmacy</v>
      </c>
      <c r="G286" s="2" t="str">
        <f ca="1">IFERROR(__xludf.DUMMYFUNCTION("""COMPUTED_VALUE"""),"https://www.pembertonpharmacy.com")</f>
        <v>https://www.pembertonpharmacy.com</v>
      </c>
      <c r="H286" s="1"/>
      <c r="I286" s="2" t="str">
        <f ca="1">IFERROR(__xludf.DUMMYFUNCTION("""COMPUTED_VALUE"""),"https://app.acuityscheduling.com/schedule.php?owner=21644418&amp;appointmentType=19446458")</f>
        <v>https://app.acuityscheduling.com/schedule.php?owner=21644418&amp;appointmentType=19446458</v>
      </c>
      <c r="J286" s="1"/>
      <c r="K286" s="1"/>
      <c r="L286" s="1"/>
      <c r="M286" s="1" t="str">
        <f ca="1">IFERROR(__xludf.DUMMYFUNCTION("""COMPUTED_VALUE"""),"Schedule an appointment using the button below")</f>
        <v>Schedule an appointment using the button below</v>
      </c>
      <c r="N286" s="1"/>
      <c r="O286" s="1"/>
      <c r="P286" s="1" t="str">
        <f ca="1">IFERROR(__xludf.DUMMYFUNCTION("""COMPUTED_VALUE"""),"21801")</f>
        <v>21801</v>
      </c>
      <c r="Q286" s="1" t="str">
        <f ca="1">IFERROR(__xludf.DUMMYFUNCTION("""COMPUTED_VALUE"""),"No")</f>
        <v>No</v>
      </c>
      <c r="R286" s="1" t="str">
        <f ca="1">IFERROR(__xludf.DUMMYFUNCTION("""COMPUTED_VALUE"""),"Yes")</f>
        <v>Yes</v>
      </c>
      <c r="S286" s="1" t="str">
        <f ca="1">IFERROR(__xludf.DUMMYFUNCTION("""COMPUTED_VALUE"""),"Yes")</f>
        <v>Yes</v>
      </c>
      <c r="T286" s="1" t="str">
        <f ca="1">IFERROR(__xludf.DUMMYFUNCTION("""COMPUTED_VALUE"""),"Yes")</f>
        <v>Yes</v>
      </c>
    </row>
    <row r="287" spans="1:20" ht="13" x14ac:dyDescent="0.6">
      <c r="A287" s="1" t="str">
        <f ca="1">IFERROR(__xludf.DUMMYFUNCTION("""COMPUTED_VALUE"""),"Worcester")</f>
        <v>Worcester</v>
      </c>
      <c r="B287" s="1" t="str">
        <f ca="1">IFERROR(__xludf.DUMMYFUNCTION("""COMPUTED_VALUE"""),"Pocomoke City")</f>
        <v>Pocomoke City</v>
      </c>
      <c r="C287" s="1" t="str">
        <f ca="1">IFERROR(__xludf.DUMMYFUNCTION("""COMPUTED_VALUE"""),"Walmart Pocomoke City")</f>
        <v>Walmart Pocomoke City</v>
      </c>
      <c r="D287" s="1" t="str">
        <f ca="1">IFERROR(__xludf.DUMMYFUNCTION("""COMPUTED_VALUE"""),"2132 Old Snow Hill Rd Pocomoke City MD 21851-2734")</f>
        <v>2132 Old Snow Hill Rd Pocomoke City MD 21851-2734</v>
      </c>
      <c r="E287" s="1" t="str">
        <f ca="1">IFERROR(__xludf.DUMMYFUNCTION("""COMPUTED_VALUE"""),"Yes")</f>
        <v>Yes</v>
      </c>
      <c r="F287" s="1" t="str">
        <f ca="1">IFERROR(__xludf.DUMMYFUNCTION("""COMPUTED_VALUE"""),"Pharmacy")</f>
        <v>Pharmacy</v>
      </c>
      <c r="G287" s="1"/>
      <c r="H287" s="1"/>
      <c r="I287" s="2" t="str">
        <f ca="1">IFERROR(__xludf.DUMMYFUNCTION("""COMPUTED_VALUE"""),"https://walmart.com/covidvaccine")</f>
        <v>https://walmart.com/covidvaccine</v>
      </c>
      <c r="J287" s="1"/>
      <c r="K287" s="1" t="str">
        <f ca="1">IFERROR(__xludf.DUMMYFUNCTION("""COMPUTED_VALUE"""),"410-957-9610")</f>
        <v>410-957-9610</v>
      </c>
      <c r="L287" s="1"/>
      <c r="M287" s="1" t="str">
        <f ca="1">IFERROR(__xludf.DUMMYFUNCTION("""COMPUTED_VALUE"""),"Schedule an appointment using the button below")</f>
        <v>Schedule an appointment using the button below</v>
      </c>
      <c r="N287" s="1"/>
      <c r="O287" s="1"/>
      <c r="P287" s="1" t="str">
        <f ca="1">IFERROR(__xludf.DUMMYFUNCTION("""COMPUTED_VALUE"""),"-2734")</f>
        <v>-2734</v>
      </c>
      <c r="Q287" s="1" t="str">
        <f ca="1">IFERROR(__xludf.DUMMYFUNCTION("""COMPUTED_VALUE"""),"Yes")</f>
        <v>Yes</v>
      </c>
      <c r="R287" s="1" t="str">
        <f ca="1">IFERROR(__xludf.DUMMYFUNCTION("""COMPUTED_VALUE"""),"Yes")</f>
        <v>Yes</v>
      </c>
      <c r="S287" s="1" t="str">
        <f ca="1">IFERROR(__xludf.DUMMYFUNCTION("""COMPUTED_VALUE"""),"No")</f>
        <v>No</v>
      </c>
      <c r="T287" s="1" t="str">
        <f ca="1">IFERROR(__xludf.DUMMYFUNCTION("""COMPUTED_VALUE"""),"Yes")</f>
        <v>Yes</v>
      </c>
    </row>
    <row r="288" spans="1:20" ht="13" x14ac:dyDescent="0.6">
      <c r="A288" s="1" t="str">
        <f ca="1">IFERROR(__xludf.DUMMYFUNCTION("""COMPUTED_VALUE"""),"Worcester")</f>
        <v>Worcester</v>
      </c>
      <c r="B288" s="1" t="str">
        <f ca="1">IFERROR(__xludf.DUMMYFUNCTION("""COMPUTED_VALUE"""),"Berlin")</f>
        <v>Berlin</v>
      </c>
      <c r="C288" s="1" t="str">
        <f ca="1">IFERROR(__xludf.DUMMYFUNCTION("""COMPUTED_VALUE"""),"Walmart Berlin")</f>
        <v>Walmart Berlin</v>
      </c>
      <c r="D288" s="1" t="str">
        <f ca="1">IFERROR(__xludf.DUMMYFUNCTION("""COMPUTED_VALUE"""),"11416 Ocean Gtwy Berlin MD 21811-2549")</f>
        <v>11416 Ocean Gtwy Berlin MD 21811-2549</v>
      </c>
      <c r="E288" s="1" t="str">
        <f ca="1">IFERROR(__xludf.DUMMYFUNCTION("""COMPUTED_VALUE"""),"Yes")</f>
        <v>Yes</v>
      </c>
      <c r="F288" s="1" t="str">
        <f ca="1">IFERROR(__xludf.DUMMYFUNCTION("""COMPUTED_VALUE"""),"Pharmacy")</f>
        <v>Pharmacy</v>
      </c>
      <c r="G288" s="1"/>
      <c r="H288" s="1"/>
      <c r="I288" s="2" t="str">
        <f ca="1">IFERROR(__xludf.DUMMYFUNCTION("""COMPUTED_VALUE"""),"https://walmart.com/covidvaccine")</f>
        <v>https://walmart.com/covidvaccine</v>
      </c>
      <c r="J288" s="1"/>
      <c r="K288" s="1" t="str">
        <f ca="1">IFERROR(__xludf.DUMMYFUNCTION("""COMPUTED_VALUE"""),"410-629-1842")</f>
        <v>410-629-1842</v>
      </c>
      <c r="L288" s="1"/>
      <c r="M288" s="1" t="str">
        <f ca="1">IFERROR(__xludf.DUMMYFUNCTION("""COMPUTED_VALUE"""),"Schedule an appointment using the button below")</f>
        <v>Schedule an appointment using the button below</v>
      </c>
      <c r="N288" s="1"/>
      <c r="O288" s="1"/>
      <c r="P288" s="1" t="str">
        <f ca="1">IFERROR(__xludf.DUMMYFUNCTION("""COMPUTED_VALUE"""),"-2549")</f>
        <v>-2549</v>
      </c>
      <c r="Q288" s="1" t="str">
        <f ca="1">IFERROR(__xludf.DUMMYFUNCTION("""COMPUTED_VALUE"""),"Yes")</f>
        <v>Yes</v>
      </c>
      <c r="R288" s="1" t="str">
        <f ca="1">IFERROR(__xludf.DUMMYFUNCTION("""COMPUTED_VALUE"""),"Yes")</f>
        <v>Yes</v>
      </c>
      <c r="S288" s="1" t="str">
        <f ca="1">IFERROR(__xludf.DUMMYFUNCTION("""COMPUTED_VALUE"""),"No")</f>
        <v>No</v>
      </c>
      <c r="T288" s="1" t="str">
        <f ca="1">IFERROR(__xludf.DUMMYFUNCTION("""COMPUTED_VALUE"""),"Yes")</f>
        <v>Yes</v>
      </c>
    </row>
    <row r="289" spans="1:20" ht="13" x14ac:dyDescent="0.6">
      <c r="A289" s="1" t="str">
        <f ca="1">IFERROR(__xludf.DUMMYFUNCTION("""COMPUTED_VALUE"""),"Worcester")</f>
        <v>Worcester</v>
      </c>
      <c r="B289" s="1" t="str">
        <f ca="1">IFERROR(__xludf.DUMMYFUNCTION("""COMPUTED_VALUE"""),"Ocean City")</f>
        <v>Ocean City</v>
      </c>
      <c r="C289" s="1" t="str">
        <f ca="1">IFERROR(__xludf.DUMMYFUNCTION("""COMPUTED_VALUE"""),"CVS Ocean City")</f>
        <v>CVS Ocean City</v>
      </c>
      <c r="D289" s="1" t="str">
        <f ca="1">IFERROR(__xludf.DUMMYFUNCTION("""COMPUTED_VALUE"""),"12001 Coastal Highway, Ocean City, MD 21842")</f>
        <v>12001 Coastal Highway, Ocean City, MD 21842</v>
      </c>
      <c r="E289" s="1" t="str">
        <f ca="1">IFERROR(__xludf.DUMMYFUNCTION("""COMPUTED_VALUE"""),"Yes")</f>
        <v>Yes</v>
      </c>
      <c r="F289" s="1" t="str">
        <f ca="1">IFERROR(__xludf.DUMMYFUNCTION("""COMPUTED_VALUE"""),"Pharmacy")</f>
        <v>Pharmacy</v>
      </c>
      <c r="G289" s="1"/>
      <c r="H289" s="1"/>
      <c r="I289" s="2" t="str">
        <f ca="1">IFERROR(__xludf.DUMMYFUNCTION("""COMPUTED_VALUE"""),"https://www.cvs.com/immunizations/covid-19-vaccine")</f>
        <v>https://www.cvs.com/immunizations/covid-19-vaccine</v>
      </c>
      <c r="J289" s="1" t="str">
        <f ca="1">IFERROR(__xludf.DUMMYFUNCTION("""COMPUTED_VALUE"""),"Yes")</f>
        <v>Yes</v>
      </c>
      <c r="K289" s="1" t="str">
        <f ca="1">IFERROR(__xludf.DUMMYFUNCTION("""COMPUTED_VALUE"""),"800-746-7287")</f>
        <v>800-746-7287</v>
      </c>
      <c r="L289" s="1"/>
      <c r="M289" s="1" t="str">
        <f ca="1">IFERROR(__xludf.DUMMYFUNCTION("""COMPUTED_VALUE"""),"Schedule an appointment using the button below")</f>
        <v>Schedule an appointment using the button below</v>
      </c>
      <c r="N289" s="1" t="str">
        <f ca="1">IFERROR(__xludf.DUMMYFUNCTION("""COMPUTED_VALUE"""),"Those without online access can contact CVS Customer Service at (800) 746-7287. ")</f>
        <v xml:space="preserve">Those without online access can contact CVS Customer Service at (800) 746-7287. </v>
      </c>
      <c r="O289" s="1" t="str">
        <f ca="1">IFERROR(__xludf.DUMMYFUNCTION("""COMPUTED_VALUE"""),"Yes")</f>
        <v>Yes</v>
      </c>
      <c r="P289" s="1" t="str">
        <f ca="1">IFERROR(__xludf.DUMMYFUNCTION("""COMPUTED_VALUE"""),"21842")</f>
        <v>21842</v>
      </c>
      <c r="Q289" s="1" t="str">
        <f ca="1">IFERROR(__xludf.DUMMYFUNCTION("""COMPUTED_VALUE"""),"Yes")</f>
        <v>Yes</v>
      </c>
      <c r="R289" s="1" t="str">
        <f ca="1">IFERROR(__xludf.DUMMYFUNCTION("""COMPUTED_VALUE"""),"No")</f>
        <v>No</v>
      </c>
      <c r="S289" s="1" t="str">
        <f ca="1">IFERROR(__xludf.DUMMYFUNCTION("""COMPUTED_VALUE"""),"No")</f>
        <v>No</v>
      </c>
      <c r="T289" s="1" t="str">
        <f ca="1">IFERROR(__xludf.DUMMYFUNCTION("""COMPUTED_VALUE"""),"Yes")</f>
        <v>Yes</v>
      </c>
    </row>
    <row r="290" spans="1:20" ht="13" x14ac:dyDescent="0.6">
      <c r="A290" s="1" t="str">
        <f ca="1">IFERROR(__xludf.DUMMYFUNCTION("""COMPUTED_VALUE"""),"Worcester")</f>
        <v>Worcester</v>
      </c>
      <c r="B290" s="1" t="str">
        <f ca="1">IFERROR(__xludf.DUMMYFUNCTION("""COMPUTED_VALUE"""),"Berlin")</f>
        <v>Berlin</v>
      </c>
      <c r="C290" s="1" t="str">
        <f ca="1">IFERROR(__xludf.DUMMYFUNCTION("""COMPUTED_VALUE"""),"AGHRx RediScripts Pharmacy at Atlantic General Hospital")</f>
        <v>AGHRx RediScripts Pharmacy at Atlantic General Hospital</v>
      </c>
      <c r="D290" s="1" t="str">
        <f ca="1">IFERROR(__xludf.DUMMYFUNCTION("""COMPUTED_VALUE"""),"9733 Healthway Drive Berlin, MD 21811")</f>
        <v>9733 Healthway Drive Berlin, MD 21811</v>
      </c>
      <c r="E290" s="1" t="str">
        <f ca="1">IFERROR(__xludf.DUMMYFUNCTION("""COMPUTED_VALUE"""),"Yes")</f>
        <v>Yes</v>
      </c>
      <c r="F290" s="1" t="str">
        <f ca="1">IFERROR(__xludf.DUMMYFUNCTION("""COMPUTED_VALUE"""),"Pharmacy")</f>
        <v>Pharmacy</v>
      </c>
      <c r="G290" s="1"/>
      <c r="H290" s="1"/>
      <c r="I290" s="2" t="str">
        <f ca="1">IFERROR(__xludf.DUMMYFUNCTION("""COMPUTED_VALUE"""),"https://bit.ly/3m8u6mK")</f>
        <v>https://bit.ly/3m8u6mK</v>
      </c>
      <c r="J290" s="1" t="str">
        <f ca="1">IFERROR(__xludf.DUMMYFUNCTION("""COMPUTED_VALUE"""),"Yes")</f>
        <v>Yes</v>
      </c>
      <c r="K290" s="1" t="str">
        <f ca="1">IFERROR(__xludf.DUMMYFUNCTION("""COMPUTED_VALUE"""),"410-641-9240")</f>
        <v>410-641-9240</v>
      </c>
      <c r="L290" s="1"/>
      <c r="M290" s="1" t="str">
        <f ca="1">IFERROR(__xludf.DUMMYFUNCTION("""COMPUTED_VALUE"""),"Schedule an appointment using the button below")</f>
        <v>Schedule an appointment using the button below</v>
      </c>
      <c r="N290" s="1"/>
      <c r="O290" s="1" t="str">
        <f ca="1">IFERROR(__xludf.DUMMYFUNCTION("""COMPUTED_VALUE"""),"Yes")</f>
        <v>Yes</v>
      </c>
      <c r="P290" s="1" t="str">
        <f ca="1">IFERROR(__xludf.DUMMYFUNCTION("""COMPUTED_VALUE"""),"21811")</f>
        <v>21811</v>
      </c>
      <c r="Q290" s="1" t="str">
        <f ca="1">IFERROR(__xludf.DUMMYFUNCTION("""COMPUTED_VALUE"""),"Yes")</f>
        <v>Yes</v>
      </c>
      <c r="R290" s="1" t="str">
        <f ca="1">IFERROR(__xludf.DUMMYFUNCTION("""COMPUTED_VALUE"""),"Yes")</f>
        <v>Yes</v>
      </c>
      <c r="S290" s="1" t="str">
        <f ca="1">IFERROR(__xludf.DUMMYFUNCTION("""COMPUTED_VALUE"""),"Yes")</f>
        <v>Yes</v>
      </c>
      <c r="T290" s="1" t="str">
        <f ca="1">IFERROR(__xludf.DUMMYFUNCTION("""COMPUTED_VALUE"""),"Yes")</f>
        <v>Yes</v>
      </c>
    </row>
  </sheetData>
  <autoFilter ref="A1:T290" xr:uid="{1FC964FC-3612-4170-B897-E909F67BE6BB}"/>
  <hyperlinks>
    <hyperlink ref="I2" r:id="rId1" display="https://www.walgreens.com/schedulevaccine" xr:uid="{00000000-0004-0000-0300-000000000000}"/>
    <hyperlink ref="I3" r:id="rId2" display="https://walmart.com/covidvaccine" xr:uid="{00000000-0004-0000-0300-000001000000}"/>
    <hyperlink ref="I5" r:id="rId3" display="https://giantfoodsched.rxtouch.com/rbssched/program/wellness/Patient/Advisory" xr:uid="{00000000-0004-0000-0300-000002000000}"/>
    <hyperlink ref="I6" r:id="rId4" display="https://giantfoodsched.rxtouch.com/rbssched/program/wellness/Patient/Advisory" xr:uid="{00000000-0004-0000-0300-000003000000}"/>
    <hyperlink ref="I7" r:id="rId5" display="https://www.walgreens.com/schedulevaccine" xr:uid="{00000000-0004-0000-0300-000004000000}"/>
    <hyperlink ref="I8" r:id="rId6" display="https://www.walgreens.com/schedulevaccine" xr:uid="{00000000-0004-0000-0300-000005000000}"/>
    <hyperlink ref="I9" r:id="rId7" display="https://www.walgreens.com/schedulevaccine" xr:uid="{00000000-0004-0000-0300-000006000000}"/>
    <hyperlink ref="I10" r:id="rId8" display="https://www.walgreens.com/schedulevaccine" xr:uid="{00000000-0004-0000-0300-000007000000}"/>
    <hyperlink ref="I11" r:id="rId9" display="https://www.walgreens.com/schedulevaccine" xr:uid="{00000000-0004-0000-0300-000008000000}"/>
    <hyperlink ref="I12" r:id="rId10" display="https://www.walgreens.com/schedulevaccine" xr:uid="{00000000-0004-0000-0300-000009000000}"/>
    <hyperlink ref="I13" r:id="rId11" display="https://www.walgreens.com/schedulevaccine" xr:uid="{00000000-0004-0000-0300-00000A000000}"/>
    <hyperlink ref="I14" r:id="rId12" display="https://walmart.com/covidvaccine" xr:uid="{00000000-0004-0000-0300-00000B000000}"/>
    <hyperlink ref="I15" r:id="rId13" display="https://www.safeway.com/covid-19" xr:uid="{00000000-0004-0000-0300-00000C000000}"/>
    <hyperlink ref="I16" r:id="rId14" display="https://www.safeway.com/covid-19" xr:uid="{00000000-0004-0000-0300-00000D000000}"/>
    <hyperlink ref="G17" r:id="rId15" display="https://www.jaipharmacy.com/" xr:uid="{00000000-0004-0000-0300-00000E000000}"/>
    <hyperlink ref="I18" r:id="rId16" display="https://walmart.com/covidvaccine" xr:uid="{00000000-0004-0000-0300-00000F000000}"/>
    <hyperlink ref="I19" r:id="rId17" display="https://www.weismarkets.com/pharmacy-services" xr:uid="{00000000-0004-0000-0300-000010000000}"/>
    <hyperlink ref="I20" r:id="rId18" display="https://www.wegmans.com/covid-vaccine-registration/" xr:uid="{00000000-0004-0000-0300-000011000000}"/>
    <hyperlink ref="I21" r:id="rId19" display="https://www.riteaid.com/pharmacy/covid-qualifier" xr:uid="{00000000-0004-0000-0300-000012000000}"/>
    <hyperlink ref="I22" r:id="rId20" display="https://giantfoodsched.rxtouch.com/rbssched/program/wellness/Patient/Advisory" xr:uid="{00000000-0004-0000-0300-000013000000}"/>
    <hyperlink ref="I23" r:id="rId21" display="https://walmart.com/covidvaccine" xr:uid="{00000000-0004-0000-0300-000014000000}"/>
    <hyperlink ref="I24" r:id="rId22" display="https://walmart.com/covidvaccine" xr:uid="{00000000-0004-0000-0300-000015000000}"/>
    <hyperlink ref="I25" r:id="rId23" display="https://walmart.com/covidvaccine" xr:uid="{00000000-0004-0000-0300-000016000000}"/>
    <hyperlink ref="I26" r:id="rId24" display="https://walmart.com/covidvaccine" xr:uid="{00000000-0004-0000-0300-000017000000}"/>
    <hyperlink ref="I27" r:id="rId25" display="https://www.samsclub.com/pharmacy" xr:uid="{00000000-0004-0000-0300-000018000000}"/>
    <hyperlink ref="G28" r:id="rId26" display="https://www.soleilpharmacy.com/" xr:uid="{00000000-0004-0000-0300-000019000000}"/>
    <hyperlink ref="I28" r:id="rId27" display="https://soleilpharmacy.com/covid-19-status-update/" xr:uid="{00000000-0004-0000-0300-00001A000000}"/>
    <hyperlink ref="I30" r:id="rId28" display="https://www.cvs.com/immunizations/covid-19-vaccine" xr:uid="{00000000-0004-0000-0300-00001B000000}"/>
    <hyperlink ref="I31" r:id="rId29" display="https://www.cvs.com/immunizations/covid-19-vaccine" xr:uid="{00000000-0004-0000-0300-00001C000000}"/>
    <hyperlink ref="I32" r:id="rId30" display="https://www.cvs.com/immunizations/covid-19-vaccine" xr:uid="{00000000-0004-0000-0300-00001D000000}"/>
    <hyperlink ref="I33" r:id="rId31" display="https://www.cvs.com/immunizations/covid-19-vaccine" xr:uid="{00000000-0004-0000-0300-00001E000000}"/>
    <hyperlink ref="I34" r:id="rId32" display="https://www.cvs.com/immunizations/covid-19-vaccine" xr:uid="{00000000-0004-0000-0300-00001F000000}"/>
    <hyperlink ref="I35" r:id="rId33" display="https://www.cvs.com/immunizations/covid-19-vaccine" xr:uid="{00000000-0004-0000-0300-000020000000}"/>
    <hyperlink ref="I36" r:id="rId34" display="https://www.cvs.com/immunizations/covid-19-vaccine" xr:uid="{00000000-0004-0000-0300-000021000000}"/>
    <hyperlink ref="I37" r:id="rId35" display="https://www.harristeeterpharmacy.com/rx/covid-eligibility" xr:uid="{00000000-0004-0000-0300-000022000000}"/>
    <hyperlink ref="I38" r:id="rId36" display="https://giantfoodsched.rxtouch.com/rbssched/program/wellness/Patient/Advisory" xr:uid="{00000000-0004-0000-0300-000023000000}"/>
    <hyperlink ref="I39" r:id="rId37" display="https://giantfoodsched.rxtouch.com/rbssched/program/wellness/Patient/Advisory" xr:uid="{00000000-0004-0000-0300-000024000000}"/>
    <hyperlink ref="I40" r:id="rId38" display="https://www.walgreens.com/schedulevaccine" xr:uid="{00000000-0004-0000-0300-000025000000}"/>
    <hyperlink ref="I41" r:id="rId39" display="https://www.walgreens.com/schedulevaccine" xr:uid="{00000000-0004-0000-0300-000026000000}"/>
    <hyperlink ref="I42" r:id="rId40" display="https://www.walgreens.com/schedulevaccine" xr:uid="{00000000-0004-0000-0300-000027000000}"/>
    <hyperlink ref="I43" r:id="rId41" display="https://www.walgreens.com/schedulevaccine" xr:uid="{00000000-0004-0000-0300-000028000000}"/>
    <hyperlink ref="I44" r:id="rId42" display="https://www.walgreens.com/schedulevaccine" xr:uid="{00000000-0004-0000-0300-000029000000}"/>
    <hyperlink ref="I45" r:id="rId43" display="https://www.walgreens.com/schedulevaccine" xr:uid="{00000000-0004-0000-0300-00002A000000}"/>
    <hyperlink ref="I46" r:id="rId44" display="https://www.walgreens.com/schedulevaccine" xr:uid="{00000000-0004-0000-0300-00002B000000}"/>
    <hyperlink ref="I47" r:id="rId45" display="https://www.walgreens.com/schedulevaccine" xr:uid="{00000000-0004-0000-0300-00002C000000}"/>
    <hyperlink ref="I48" r:id="rId46" display="https://www.walgreens.com/schedulevaccine" xr:uid="{00000000-0004-0000-0300-00002D000000}"/>
    <hyperlink ref="I49" r:id="rId47" display="https://www.walgreens.com/schedulevaccine" xr:uid="{00000000-0004-0000-0300-00002E000000}"/>
    <hyperlink ref="I50" r:id="rId48" display="https://www.walgreens.com/schedulevaccine" xr:uid="{00000000-0004-0000-0300-00002F000000}"/>
    <hyperlink ref="I51" r:id="rId49" display="https://www.walgreens.com/schedulevaccine" xr:uid="{00000000-0004-0000-0300-000030000000}"/>
    <hyperlink ref="I52" r:id="rId50" display="https://www.walgreens.com/schedulevaccine" xr:uid="{00000000-0004-0000-0300-000031000000}"/>
    <hyperlink ref="I53" r:id="rId51" display="https://walmart.com/covidvaccine" xr:uid="{00000000-0004-0000-0300-000032000000}"/>
    <hyperlink ref="I54" r:id="rId52" display="https://walmart.com/covidvaccine" xr:uid="{00000000-0004-0000-0300-000033000000}"/>
    <hyperlink ref="I55" r:id="rId53" display="https://walmart.com/covidvaccine" xr:uid="{00000000-0004-0000-0300-000034000000}"/>
    <hyperlink ref="I56" r:id="rId54" display="https://www.safeway.com/covid-19" xr:uid="{00000000-0004-0000-0300-000035000000}"/>
    <hyperlink ref="I57" r:id="rId55" display="https://giantfoodsched.rxtouch.com/rbssched/program/wellness/Patient/Advisory" xr:uid="{00000000-0004-0000-0300-000036000000}"/>
    <hyperlink ref="I58" r:id="rId56" display="https://www.catonsvillepharmacy.com/" xr:uid="{00000000-0004-0000-0300-000037000000}"/>
    <hyperlink ref="I59" r:id="rId57" display="https://walmart.com/covidvaccine" xr:uid="{00000000-0004-0000-0300-000038000000}"/>
    <hyperlink ref="I60" r:id="rId58" display="https://www.weismarkets.com/pharmacy-services" xr:uid="{00000000-0004-0000-0300-000039000000}"/>
    <hyperlink ref="I61" r:id="rId59" display="https://www.weismarkets.com/pharmacy-services" xr:uid="{00000000-0004-0000-0300-00003A000000}"/>
    <hyperlink ref="I62" r:id="rId60" display="https://www.weismarkets.com/pharmacy-services" xr:uid="{00000000-0004-0000-0300-00003B000000}"/>
    <hyperlink ref="I63" r:id="rId61" display="https://www.weismarkets.com/pharmacy-services" xr:uid="{00000000-0004-0000-0300-00003C000000}"/>
    <hyperlink ref="I64" r:id="rId62" display="https://www.weismarkets.com/pharmacy-services" xr:uid="{00000000-0004-0000-0300-00003D000000}"/>
    <hyperlink ref="I65" r:id="rId63" display="https://www.weismarkets.com/pharmacy-services" xr:uid="{00000000-0004-0000-0300-00003E000000}"/>
    <hyperlink ref="I66" r:id="rId64" display="https://www.wegmans.com/covid-vaccine-registration/" xr:uid="{00000000-0004-0000-0300-00003F000000}"/>
    <hyperlink ref="I67" r:id="rId65" display="https://www.wegmans.com/covid-vaccine-registration/" xr:uid="{00000000-0004-0000-0300-000040000000}"/>
    <hyperlink ref="I68" r:id="rId66" display="https://giantfoodsched.rxtouch.com/rbssched/program/wellness/Patient/Advisory" xr:uid="{00000000-0004-0000-0300-000041000000}"/>
    <hyperlink ref="I69" r:id="rId67" display="https://giantfoodsched.rxtouch.com/rbssched/program/wellness/Patient/Advisory" xr:uid="{00000000-0004-0000-0300-000042000000}"/>
    <hyperlink ref="I70" r:id="rId68" display="https://giantfoodsched.rxtouch.com/rbssched/program/wellness/Patient/Advisory" xr:uid="{00000000-0004-0000-0300-000043000000}"/>
    <hyperlink ref="I71" r:id="rId69" display="https://walmart.com/covidvaccine" xr:uid="{00000000-0004-0000-0300-000044000000}"/>
    <hyperlink ref="I72" r:id="rId70" display="https://walmart.com/covidvaccine" xr:uid="{00000000-0004-0000-0300-000045000000}"/>
    <hyperlink ref="I73" r:id="rId71" display="https://walmart.com/covidvaccine" xr:uid="{00000000-0004-0000-0300-000046000000}"/>
    <hyperlink ref="I74" r:id="rId72" display="https://walmart.com/covidvaccine" xr:uid="{00000000-0004-0000-0300-000047000000}"/>
    <hyperlink ref="I75" r:id="rId73" display="https://walmart.com/covidvaccine" xr:uid="{00000000-0004-0000-0300-000048000000}"/>
    <hyperlink ref="I76" r:id="rId74" display="https://walmart.com/covidvaccine" xr:uid="{00000000-0004-0000-0300-000049000000}"/>
    <hyperlink ref="I77" r:id="rId75" display="https://www.samsclub.com/pharmacy" xr:uid="{00000000-0004-0000-0300-00004A000000}"/>
    <hyperlink ref="I78" r:id="rId76" display="https://www.samsclub.com/pharmacy" xr:uid="{00000000-0004-0000-0300-00004B000000}"/>
    <hyperlink ref="I79" r:id="rId77" display="https://www.samsclub.com/pharmacy" xr:uid="{00000000-0004-0000-0300-00004C000000}"/>
    <hyperlink ref="G80" r:id="rId78" display="https://www.baltimorehighlandspharmacy.com/" xr:uid="{00000000-0004-0000-0300-00004D000000}"/>
    <hyperlink ref="I80" r:id="rId79" display="https://bookacovidvaccine.com/baltimore-highlands-pharmacy/" xr:uid="{00000000-0004-0000-0300-00004E000000}"/>
    <hyperlink ref="G81" r:id="rId80" display="https://www.professionalpharmacyrosedale.com/" xr:uid="{00000000-0004-0000-0300-00004F000000}"/>
    <hyperlink ref="I82" r:id="rId81" display="https://www.cvs.com/immunizations/covid-19-vaccine" xr:uid="{00000000-0004-0000-0300-000050000000}"/>
    <hyperlink ref="I83" r:id="rId82" display="https://www.cvs.com/immunizations/covid-19-vaccine" xr:uid="{00000000-0004-0000-0300-000051000000}"/>
    <hyperlink ref="I84" r:id="rId83" display="https://www.cvs.com/immunizations/covid-19-vaccine" xr:uid="{00000000-0004-0000-0300-000052000000}"/>
    <hyperlink ref="I85" r:id="rId84" display="https://www.cvs.com/immunizations/covid-19-vaccine" xr:uid="{00000000-0004-0000-0300-000053000000}"/>
    <hyperlink ref="I86" r:id="rId85" display="https://www.cvs.com/immunizations/covid-19-vaccine" xr:uid="{00000000-0004-0000-0300-000054000000}"/>
    <hyperlink ref="I87" r:id="rId86" display="https://www.cvs.com/immunizations/covid-19-vaccine" xr:uid="{00000000-0004-0000-0300-000055000000}"/>
    <hyperlink ref="I88" r:id="rId87" location="!/form/amepharmacy" display="https://www.mycovidshots.com/ - !/form/amepharmacy" xr:uid="{00000000-0004-0000-0300-000056000000}"/>
    <hyperlink ref="I89" r:id="rId88" display="https://www.propharmacyrx.net/covid-19-vaccines" xr:uid="{00000000-0004-0000-0300-000057000000}"/>
    <hyperlink ref="I90" r:id="rId89" display="https://www.weismarkets.com/pharmacy-services" xr:uid="{00000000-0004-0000-0300-000058000000}"/>
    <hyperlink ref="I91" r:id="rId90" display="https://www.weismarkets.com/pharmacy-services" xr:uid="{00000000-0004-0000-0300-000059000000}"/>
    <hyperlink ref="I92" r:id="rId91" display="https://www.riteaid.com/pharmacy/covid-qualifier" xr:uid="{00000000-0004-0000-0300-00005A000000}"/>
    <hyperlink ref="I93" r:id="rId92" display="https://www.walgreens.com/schedulevaccine" xr:uid="{00000000-0004-0000-0300-00005B000000}"/>
    <hyperlink ref="I94" r:id="rId93" display="https://www.walgreens.com/schedulevaccine" xr:uid="{00000000-0004-0000-0300-00005C000000}"/>
    <hyperlink ref="I95" r:id="rId94" display="https://www.walgreens.com/schedulevaccine" xr:uid="{00000000-0004-0000-0300-00005D000000}"/>
    <hyperlink ref="I96" r:id="rId95" display="https://www.walgreens.com/schedulevaccine" xr:uid="{00000000-0004-0000-0300-00005E000000}"/>
    <hyperlink ref="I97" r:id="rId96" display="https://www.walgreens.com/schedulevaccine" xr:uid="{00000000-0004-0000-0300-00005F000000}"/>
    <hyperlink ref="I98" r:id="rId97" display="https://www.walgreens.com/schedulevaccine" xr:uid="{00000000-0004-0000-0300-000060000000}"/>
    <hyperlink ref="I99" r:id="rId98" display="https://www.cvs.com/immunizations/covid-19-vaccine" xr:uid="{00000000-0004-0000-0300-000061000000}"/>
    <hyperlink ref="I100" r:id="rId99" display="https://www.safeway.com/covid-19" xr:uid="{00000000-0004-0000-0300-000062000000}"/>
    <hyperlink ref="I101" r:id="rId100" display="https://www.riteaid.com/pharmacy/covid-qualifier" xr:uid="{00000000-0004-0000-0300-000063000000}"/>
    <hyperlink ref="I102" r:id="rId101" display="https://www.riteaid.com/pharmacy/covid-qualifier" xr:uid="{00000000-0004-0000-0300-000064000000}"/>
    <hyperlink ref="I103" r:id="rId102" display="https://www.cvs.com/immunizations/covid-19-vaccine" xr:uid="{00000000-0004-0000-0300-000065000000}"/>
    <hyperlink ref="I104" r:id="rId103" display="https://www.harristeeterpharmacy.com/rx/covid-eligibility" xr:uid="{00000000-0004-0000-0300-000066000000}"/>
    <hyperlink ref="I105" r:id="rId104" display="https://www.riteaid.com/pharmacy/covid-qualifier" xr:uid="{00000000-0004-0000-0300-000067000000}"/>
    <hyperlink ref="I106" r:id="rId105" display="https://www.walgreens.com/schedulevaccine" xr:uid="{00000000-0004-0000-0300-000068000000}"/>
    <hyperlink ref="I107" r:id="rId106" display="https://www.walgreens.com/schedulevaccine" xr:uid="{00000000-0004-0000-0300-000069000000}"/>
    <hyperlink ref="I108" r:id="rId107" display="https://www.weismarkets.com/pharmacy-services" xr:uid="{00000000-0004-0000-0300-00006A000000}"/>
    <hyperlink ref="I109" r:id="rId108" display="https://giantfoodsched.rxtouch.com/rbssched/program/wellness/Patient/Advisory" xr:uid="{00000000-0004-0000-0300-00006B000000}"/>
    <hyperlink ref="I110" r:id="rId109" display="https://walmart.com/covidvaccine" xr:uid="{00000000-0004-0000-0300-00006C000000}"/>
    <hyperlink ref="I111" r:id="rId110" display="https://walmart.com/covidvaccine" xr:uid="{00000000-0004-0000-0300-00006D000000}"/>
    <hyperlink ref="G112" r:id="rId111" display="https://www.lusbypharmacyrx.com/" xr:uid="{00000000-0004-0000-0300-00006E000000}"/>
    <hyperlink ref="I112" r:id="rId112" display="https://scheduling.bestrxconnect.com/Covid19" xr:uid="{00000000-0004-0000-0300-00006F000000}"/>
    <hyperlink ref="I113" r:id="rId113" display="https://walmart.com/covidvaccine" xr:uid="{00000000-0004-0000-0300-000070000000}"/>
    <hyperlink ref="I115" r:id="rId114" display="https://www.walgreens.com/schedulevaccine" xr:uid="{00000000-0004-0000-0300-000071000000}"/>
    <hyperlink ref="I116" r:id="rId115" display="https://walmart.com/covidvaccine" xr:uid="{00000000-0004-0000-0300-000072000000}"/>
    <hyperlink ref="I117" r:id="rId116" display="https://walmart.com/covidvaccine" xr:uid="{00000000-0004-0000-0300-000073000000}"/>
    <hyperlink ref="I118" r:id="rId117" display="https://www.safeway.com/covid-19" xr:uid="{00000000-0004-0000-0300-000074000000}"/>
    <hyperlink ref="I119" r:id="rId118" display="https://www.finksburgpharmacy.com/" xr:uid="{00000000-0004-0000-0300-000075000000}"/>
    <hyperlink ref="I121" r:id="rId119" display="https://www.weismarkets.com/pharmacy-services" xr:uid="{00000000-0004-0000-0300-000076000000}"/>
    <hyperlink ref="I122" r:id="rId120" display="https://www.weismarkets.com/pharmacy-services" xr:uid="{00000000-0004-0000-0300-000077000000}"/>
    <hyperlink ref="I123" r:id="rId121" display="https://walmart.com/covidvaccine" xr:uid="{00000000-0004-0000-0300-000078000000}"/>
    <hyperlink ref="I124" r:id="rId122" display="https://www.weismarkets.com/pharmacy-services" xr:uid="{00000000-0004-0000-0300-000079000000}"/>
    <hyperlink ref="G125" r:id="rId123" display="https://www.familypharmacyofhampstead.com/" xr:uid="{00000000-0004-0000-0300-00007A000000}"/>
    <hyperlink ref="I126" r:id="rId124" display="https://walmart.com/covidvaccine" xr:uid="{00000000-0004-0000-0300-00007B000000}"/>
    <hyperlink ref="I127" r:id="rId125" display="https://www.walgreens.com/schedulevaccine" xr:uid="{00000000-0004-0000-0300-00007C000000}"/>
    <hyperlink ref="I128" r:id="rId126" display="https://walmart.com/covidvaccine" xr:uid="{00000000-0004-0000-0300-00007D000000}"/>
    <hyperlink ref="I129" r:id="rId127" display="https://giantfoodsched.rxtouch.com/rbssched/program/wellness/Patient/Advisory" xr:uid="{00000000-0004-0000-0300-00007E000000}"/>
    <hyperlink ref="I130" r:id="rId128" display="https://mhealthsystem.com/covid1938" xr:uid="{00000000-0004-0000-0300-00007F000000}"/>
    <hyperlink ref="I131" r:id="rId129" display="https://www.walgreens.com/schedulevaccine" xr:uid="{00000000-0004-0000-0300-000080000000}"/>
    <hyperlink ref="I132" r:id="rId130" display="https://www.walgreens.com/schedulevaccine" xr:uid="{00000000-0004-0000-0300-000081000000}"/>
    <hyperlink ref="I133" r:id="rId131" display="https://walmart.com/covidvaccine" xr:uid="{00000000-0004-0000-0300-000082000000}"/>
    <hyperlink ref="I134" r:id="rId132" display="https://walmart.com/covidvaccine" xr:uid="{00000000-0004-0000-0300-000083000000}"/>
    <hyperlink ref="I135" r:id="rId133" display="https://www.cvs.com/immunizations/covid-19-vaccine" xr:uid="{00000000-0004-0000-0300-000084000000}"/>
    <hyperlink ref="I136" r:id="rId134" display="https://www.cvs.com/immunizations/covid-19-vaccine" xr:uid="{00000000-0004-0000-0300-000085000000}"/>
    <hyperlink ref="I137" r:id="rId135" display="https://walmart.com/covidvaccine" xr:uid="{00000000-0004-0000-0300-000086000000}"/>
    <hyperlink ref="I138" r:id="rId136" display="https://www.walgreens.com/schedulevaccine" xr:uid="{00000000-0004-0000-0300-000087000000}"/>
    <hyperlink ref="I139" r:id="rId137" display="https://www.riteaid.com/pharmacy/covid-qualifier" xr:uid="{00000000-0004-0000-0300-000088000000}"/>
    <hyperlink ref="I140" r:id="rId138" display="https://www.walgreens.com/schedulevaccine" xr:uid="{00000000-0004-0000-0300-000089000000}"/>
    <hyperlink ref="I141" r:id="rId139" display="https://www.walgreens.com/schedulevaccine" xr:uid="{00000000-0004-0000-0300-00008A000000}"/>
    <hyperlink ref="I142" r:id="rId140" display="https://walmart.com/covidvaccine" xr:uid="{00000000-0004-0000-0300-00008B000000}"/>
    <hyperlink ref="I143" r:id="rId141" display="https://walmart.com/covidvaccine" xr:uid="{00000000-0004-0000-0300-00008C000000}"/>
    <hyperlink ref="I144" r:id="rId142" display="https://www.weismarkets.com/pharmacy-services" xr:uid="{00000000-0004-0000-0300-00008D000000}"/>
    <hyperlink ref="I145" r:id="rId143" display="https://www.weismarkets.com/pharmacy-services" xr:uid="{00000000-0004-0000-0300-00008E000000}"/>
    <hyperlink ref="I146" r:id="rId144" display="https://www.weismarkets.com/pharmacy-services" xr:uid="{00000000-0004-0000-0300-00008F000000}"/>
    <hyperlink ref="I147" r:id="rId145" display="https://www.weismarkets.com/pharmacy-services" xr:uid="{00000000-0004-0000-0300-000090000000}"/>
    <hyperlink ref="I148" r:id="rId146" display="https://www.wegmans.com/covid-vaccine-registration/" xr:uid="{00000000-0004-0000-0300-000091000000}"/>
    <hyperlink ref="I149" r:id="rId147" display="https://giantfoodsched.rxtouch.com/rbssched/program/wellness/Patient/Advisory" xr:uid="{00000000-0004-0000-0300-000092000000}"/>
    <hyperlink ref="I150" r:id="rId148" display="https://walmart.com/covidvaccine" xr:uid="{00000000-0004-0000-0300-000093000000}"/>
    <hyperlink ref="I151" r:id="rId149" display="https://www.cvs.com/immunizations/covid-19-vaccine" xr:uid="{00000000-0004-0000-0300-000094000000}"/>
    <hyperlink ref="I152" r:id="rId150" display="https://www.cvs.com/immunizations/covid-19-vaccine" xr:uid="{00000000-0004-0000-0300-000095000000}"/>
    <hyperlink ref="I153" r:id="rId151" display="https://www.cvs.com/immunizations/covid-19-vaccine" xr:uid="{00000000-0004-0000-0300-000096000000}"/>
    <hyperlink ref="I154" r:id="rId152" display="https://www.cvs.com/immunizations/covid-19-vaccine" xr:uid="{00000000-0004-0000-0300-000097000000}"/>
    <hyperlink ref="I155" r:id="rId153" display="https://www.cvs.com/immunizations/covid-19-vaccine" xr:uid="{00000000-0004-0000-0300-000098000000}"/>
    <hyperlink ref="I156" r:id="rId154" display="https://www.weismarkets.com/pharmacy-services" xr:uid="{00000000-0004-0000-0300-000099000000}"/>
    <hyperlink ref="I157" r:id="rId155" display="https://walmart.com/covidvaccine" xr:uid="{00000000-0004-0000-0300-00009A000000}"/>
    <hyperlink ref="I158" r:id="rId156" display="https://www.walgreens.com/schedulevaccine" xr:uid="{00000000-0004-0000-0300-00009B000000}"/>
    <hyperlink ref="I159" r:id="rId157" display="https://www.walgreens.com/schedulevaccine" xr:uid="{00000000-0004-0000-0300-00009C000000}"/>
    <hyperlink ref="I160" r:id="rId158" display="https://www.walgreens.com/schedulevaccine" xr:uid="{00000000-0004-0000-0300-00009D000000}"/>
    <hyperlink ref="I161" r:id="rId159" display="https://www.walgreens.com/schedulevaccine" xr:uid="{00000000-0004-0000-0300-00009E000000}"/>
    <hyperlink ref="I162" r:id="rId160" display="https://walmart.com/covidvaccine" xr:uid="{00000000-0004-0000-0300-00009F000000}"/>
    <hyperlink ref="I163" r:id="rId161" display="https://vaccines.shoprite.com/" xr:uid="{00000000-0004-0000-0300-0000A0000000}"/>
    <hyperlink ref="I164" r:id="rId162" display="https://vaccines.shoprite.com/" xr:uid="{00000000-0004-0000-0300-0000A1000000}"/>
    <hyperlink ref="I165" r:id="rId163" display="https://www.weismarkets.com/pharmacy-services" xr:uid="{00000000-0004-0000-0300-0000A2000000}"/>
    <hyperlink ref="I166" r:id="rId164" display="https://www.weismarkets.com/pharmacy-services" xr:uid="{00000000-0004-0000-0300-0000A3000000}"/>
    <hyperlink ref="I167" r:id="rId165" display="https://www.wegmans.com/covid-vaccine-registration/" xr:uid="{00000000-0004-0000-0300-0000A4000000}"/>
    <hyperlink ref="I168" r:id="rId166" display="https://walmart.com/covidvaccine" xr:uid="{00000000-0004-0000-0300-0000A5000000}"/>
    <hyperlink ref="I169" r:id="rId167" display="https://www.cvs.com/immunizations/covid-19-vaccine" xr:uid="{00000000-0004-0000-0300-0000A6000000}"/>
    <hyperlink ref="I170" r:id="rId168" display="https://giantfoodsched.rxtouch.com/rbssched/program/wellness/Patient/Advisory" xr:uid="{00000000-0004-0000-0300-0000A7000000}"/>
    <hyperlink ref="I171" r:id="rId169" display="https://www.walgreens.com/schedulevaccine" xr:uid="{00000000-0004-0000-0300-0000A8000000}"/>
    <hyperlink ref="I172" r:id="rId170" display="https://www.walgreens.com/schedulevaccine" xr:uid="{00000000-0004-0000-0300-0000A9000000}"/>
    <hyperlink ref="I173" r:id="rId171" display="https://www.walgreens.com/schedulevaccine" xr:uid="{00000000-0004-0000-0300-0000AA000000}"/>
    <hyperlink ref="I174" r:id="rId172" display="https://walmart.com/covidvaccine" xr:uid="{00000000-0004-0000-0300-0000AB000000}"/>
    <hyperlink ref="I175" r:id="rId173" display="https://www.safeway.com/covid-19" xr:uid="{00000000-0004-0000-0300-0000AC000000}"/>
    <hyperlink ref="I176" r:id="rId174" display="https://giantfoodsched.rxtouch.com/rbssched/program/wellness/Patient/Advisory" xr:uid="{00000000-0004-0000-0300-0000AD000000}"/>
    <hyperlink ref="I177" r:id="rId175" display="https://www.weismarkets.com/pharmacy-services" xr:uid="{00000000-0004-0000-0300-0000AE000000}"/>
    <hyperlink ref="I178" r:id="rId176" display="https://www.weismarkets.com/pharmacy-services" xr:uid="{00000000-0004-0000-0300-0000AF000000}"/>
    <hyperlink ref="I179" r:id="rId177" display="https://www.wegmans.com/covid-vaccine-registration/" xr:uid="{00000000-0004-0000-0300-0000B0000000}"/>
    <hyperlink ref="I180" r:id="rId178" display="https://walmart.com/covidvaccine" xr:uid="{00000000-0004-0000-0300-0000B1000000}"/>
    <hyperlink ref="I181" r:id="rId179" display="https://www.cvs.com/immunizations/covid-19-vaccine" xr:uid="{00000000-0004-0000-0300-0000B2000000}"/>
    <hyperlink ref="I182" r:id="rId180" display="https://www.cvs.com/immunizations/covid-19-vaccine" xr:uid="{00000000-0004-0000-0300-0000B3000000}"/>
    <hyperlink ref="I183" r:id="rId181" display="https://bookacovidvaccine.com/columbia-hickory-pharmacy/" xr:uid="{00000000-0004-0000-0300-0000B4000000}"/>
    <hyperlink ref="I184" r:id="rId182" display="https://bookacovidvaccine.com/ellicott-city-pharmacy/" xr:uid="{00000000-0004-0000-0300-0000B5000000}"/>
    <hyperlink ref="I185" r:id="rId183" display="https://www.harristeeterpharmacy.com/rx/covid-eligibility" xr:uid="{00000000-0004-0000-0300-0000B6000000}"/>
    <hyperlink ref="G186" r:id="rId184" display="https://www.chesterriverpharmacy.com/" xr:uid="{00000000-0004-0000-0300-0000B7000000}"/>
    <hyperlink ref="I186" r:id="rId185" display="https://www.chesterriverpharmacy.com/coronavirus" xr:uid="{00000000-0004-0000-0300-0000B8000000}"/>
    <hyperlink ref="I187" r:id="rId186" display="https://giantfoodsched.rxtouch.com/rbssched/program/wellness/Patient/Advisory" xr:uid="{00000000-0004-0000-0300-0000B9000000}"/>
    <hyperlink ref="I188" r:id="rId187" display="https://giantfoodsched.rxtouch.com/rbssched/program/wellness/Patient/Advisory" xr:uid="{00000000-0004-0000-0300-0000BA000000}"/>
    <hyperlink ref="I189" r:id="rId188" display="https://www.walgreens.com/schedulevaccine" xr:uid="{00000000-0004-0000-0300-0000BB000000}"/>
    <hyperlink ref="I190" r:id="rId189" display="https://www.walgreens.com/schedulevaccine" xr:uid="{00000000-0004-0000-0300-0000BC000000}"/>
    <hyperlink ref="I191" r:id="rId190" display="https://www.walgreens.com/schedulevaccine" xr:uid="{00000000-0004-0000-0300-0000BD000000}"/>
    <hyperlink ref="I192" r:id="rId191" display="https://www.walgreens.com/schedulevaccine" xr:uid="{00000000-0004-0000-0300-0000BE000000}"/>
    <hyperlink ref="I193" r:id="rId192" display="https://www.walgreens.com/schedulevaccine" xr:uid="{00000000-0004-0000-0300-0000BF000000}"/>
    <hyperlink ref="I194" r:id="rId193" display="https://www.walgreens.com/schedulevaccine" xr:uid="{00000000-0004-0000-0300-0000C0000000}"/>
    <hyperlink ref="I195" r:id="rId194" display="https://www.walgreens.com/schedulevaccine" xr:uid="{00000000-0004-0000-0300-0000C1000000}"/>
    <hyperlink ref="I196" r:id="rId195" display="https://www.walgreens.com/schedulevaccine" xr:uid="{00000000-0004-0000-0300-0000C2000000}"/>
    <hyperlink ref="I197" r:id="rId196" display="https://www.cvs.com/immunizations/covid-19-vaccine" xr:uid="{00000000-0004-0000-0300-0000C3000000}"/>
    <hyperlink ref="I198" r:id="rId197" display="https://www.cvs.com/immunizations/covid-19-vaccine" xr:uid="{00000000-0004-0000-0300-0000C4000000}"/>
    <hyperlink ref="I199" r:id="rId198" display="https://www.cvs.com/immunizations/covid-19-vaccine" xr:uid="{00000000-0004-0000-0300-0000C5000000}"/>
    <hyperlink ref="I200" r:id="rId199" display="https://walmart.com/covidvaccine" xr:uid="{00000000-0004-0000-0300-0000C6000000}"/>
    <hyperlink ref="I201" r:id="rId200" display="https://www.safeway.com/covid-19" xr:uid="{00000000-0004-0000-0300-0000C7000000}"/>
    <hyperlink ref="I202" r:id="rId201" display="https://www.safeway.com/covid-19" xr:uid="{00000000-0004-0000-0300-0000C8000000}"/>
    <hyperlink ref="I203" r:id="rId202" display="https://www.safeway.com/covid-19" xr:uid="{00000000-0004-0000-0300-0000C9000000}"/>
    <hyperlink ref="I204" r:id="rId203" display="https://www.safeway.com/covid-19" xr:uid="{00000000-0004-0000-0300-0000CA000000}"/>
    <hyperlink ref="I205" r:id="rId204" display="https://www.safeway.com/covid-19" xr:uid="{00000000-0004-0000-0300-0000CB000000}"/>
    <hyperlink ref="I206" r:id="rId205" display="https://giantfoodsched.rxtouch.com/rbssched/program/wellness/Patient/Advisory" xr:uid="{00000000-0004-0000-0300-0000CC000000}"/>
    <hyperlink ref="I207" r:id="rId206" display="https://giantfoodsched.rxtouch.com/rbssched/program/wellness/Patient/Advisory" xr:uid="{00000000-0004-0000-0300-0000CD000000}"/>
    <hyperlink ref="I208" r:id="rId207" display="https://www.safeway.com/covid-19" xr:uid="{00000000-0004-0000-0300-0000CE000000}"/>
    <hyperlink ref="I209" r:id="rId208" display="https://www.wegmans.com/covid-vaccine-registration/" xr:uid="{00000000-0004-0000-0300-0000CF000000}"/>
    <hyperlink ref="I210" r:id="rId209" display="https://giantfoodsched.rxtouch.com/rbssched/program/wellness/Patient/Advisory" xr:uid="{00000000-0004-0000-0300-0000D0000000}"/>
    <hyperlink ref="I211" r:id="rId210" display="https://giantfoodsched.rxtouch.com/rbssched/program/wellness/Patient/Advisory" xr:uid="{00000000-0004-0000-0300-0000D1000000}"/>
    <hyperlink ref="I212" r:id="rId211" display="https://giantfoodsched.rxtouch.com/rbssched/program/wellness/Patient/Advisory" xr:uid="{00000000-0004-0000-0300-0000D2000000}"/>
    <hyperlink ref="I213" r:id="rId212" display="https://giantfoodsched.rxtouch.com/rbssched/program/wellness/Patient/Advisory" xr:uid="{00000000-0004-0000-0300-0000D3000000}"/>
    <hyperlink ref="I214" r:id="rId213" display="https://giantfoodsched.rxtouch.com/rbssched/program/wellness/Patient/Advisory" xr:uid="{00000000-0004-0000-0300-0000D4000000}"/>
    <hyperlink ref="I215" r:id="rId214" display="https://www.samsclub.com/pharmacy" xr:uid="{00000000-0004-0000-0300-0000D5000000}"/>
    <hyperlink ref="G216" r:id="rId215" display="https://greenpharmacyonline.com/" xr:uid="{00000000-0004-0000-0300-0000D6000000}"/>
    <hyperlink ref="I217" r:id="rId216" display="https://www.cvs.com/immunizations/covid-19-vaccine" xr:uid="{00000000-0004-0000-0300-0000D7000000}"/>
    <hyperlink ref="I218" r:id="rId217" display="https://www.cvs.com/immunizations/covid-19-vaccine" xr:uid="{00000000-0004-0000-0300-0000D8000000}"/>
    <hyperlink ref="I219" r:id="rId218" display="https://www.cvs.com/immunizations/covid-19-vaccine" xr:uid="{00000000-0004-0000-0300-0000D9000000}"/>
    <hyperlink ref="I220" r:id="rId219" display="https://www.cvs.com/immunizations/covid-19-vaccine" xr:uid="{00000000-0004-0000-0300-0000DA000000}"/>
    <hyperlink ref="I221" r:id="rId220" display="https://www.cvs.com/immunizations/covid-19-vaccine" xr:uid="{00000000-0004-0000-0300-0000DB000000}"/>
    <hyperlink ref="I222" r:id="rId221" display="https://www.cvs.com/immunizations/covid-19-vaccine" xr:uid="{00000000-0004-0000-0300-0000DC000000}"/>
    <hyperlink ref="I223" r:id="rId222" display="https://www.cvs.com/immunizations/covid-19-vaccine" xr:uid="{00000000-0004-0000-0300-0000DD000000}"/>
    <hyperlink ref="I224" r:id="rId223" display="https://www.cvs.com/immunizations/covid-19-vaccine" xr:uid="{00000000-0004-0000-0300-0000DE000000}"/>
    <hyperlink ref="I225" r:id="rId224" display="https://www.cvs.com/immunizations/covid-19-vaccine" xr:uid="{00000000-0004-0000-0300-0000DF000000}"/>
    <hyperlink ref="I227" r:id="rId225" display="https://www.procarebeautyandcosmetics.com/" xr:uid="{00000000-0004-0000-0300-0000E0000000}"/>
    <hyperlink ref="I228" r:id="rId226" display="https://www.cvs.com/immunizations/covid-19-vaccine" xr:uid="{00000000-0004-0000-0300-0000E1000000}"/>
    <hyperlink ref="I229" r:id="rId227" display="https://www.cvs.com/immunizations/covid-19-vaccine" xr:uid="{00000000-0004-0000-0300-0000E2000000}"/>
    <hyperlink ref="I230" r:id="rId228" display="https://www.harristeeterpharmacy.com/rx/covid-eligibility" xr:uid="{00000000-0004-0000-0300-0000E3000000}"/>
    <hyperlink ref="I231" r:id="rId229" display="https://www.harristeeterpharmacy.com/rx/covid-eligibility" xr:uid="{00000000-0004-0000-0300-0000E4000000}"/>
    <hyperlink ref="G232" r:id="rId230" display="https://midtownpharmacyllc.com/" xr:uid="{00000000-0004-0000-0300-0000E5000000}"/>
    <hyperlink ref="I232" r:id="rId231" display="https://midtownpharmacyllc.com/covid-19-vaccination/" xr:uid="{00000000-0004-0000-0300-0000E6000000}"/>
    <hyperlink ref="I233" r:id="rId232" display="https://giantfoodsched.rxtouch.com/rbssched/program/wellness/Patient/Advisory" xr:uid="{00000000-0004-0000-0300-0000E7000000}"/>
    <hyperlink ref="I234" r:id="rId233" display="https://giantfoodsched.rxtouch.com/rbssched/program/wellness/Patient/Advisory" xr:uid="{00000000-0004-0000-0300-0000E8000000}"/>
    <hyperlink ref="I235" r:id="rId234" display="https://giantfoodsched.rxtouch.com/rbssched/program/wellness/Patient/Advisory" xr:uid="{00000000-0004-0000-0300-0000E9000000}"/>
    <hyperlink ref="I236" r:id="rId235" display="https://giantfoodsched.rxtouch.com/rbssched/program/wellness/Patient/Advisory" xr:uid="{00000000-0004-0000-0300-0000EA000000}"/>
    <hyperlink ref="I237" r:id="rId236" display="https://mhealthsystem.com/covid2795" xr:uid="{00000000-0004-0000-0300-0000EB000000}"/>
    <hyperlink ref="I238" r:id="rId237" display="https://www.walgreens.com/schedulevaccine" xr:uid="{00000000-0004-0000-0300-0000EC000000}"/>
    <hyperlink ref="I239" r:id="rId238" display="https://www.walgreens.com/schedulevaccine" xr:uid="{00000000-0004-0000-0300-0000ED000000}"/>
    <hyperlink ref="I240" r:id="rId239" display="https://www.walgreens.com/schedulevaccine" xr:uid="{00000000-0004-0000-0300-0000EE000000}"/>
    <hyperlink ref="I241" r:id="rId240" display="https://www.walgreens.com/schedulevaccine" xr:uid="{00000000-0004-0000-0300-0000EF000000}"/>
    <hyperlink ref="I242" r:id="rId241" display="https://www.walgreens.com/schedulevaccine" xr:uid="{00000000-0004-0000-0300-0000F0000000}"/>
    <hyperlink ref="I243" r:id="rId242" display="https://www.cvs.com/immunizations/covid-19-vaccine" xr:uid="{00000000-0004-0000-0300-0000F1000000}"/>
    <hyperlink ref="I244" r:id="rId243" display="https://www.cvs.com/immunizations/covid-19-vaccine" xr:uid="{00000000-0004-0000-0300-0000F2000000}"/>
    <hyperlink ref="I245" r:id="rId244" display="https://www.safeway.com/covid-19" xr:uid="{00000000-0004-0000-0300-0000F3000000}"/>
    <hyperlink ref="I246" r:id="rId245" display="https://k8j5m.app.goo.gl/YFEB" xr:uid="{00000000-0004-0000-0300-0000F4000000}"/>
    <hyperlink ref="I247" r:id="rId246" display="https://k8j5m.app.goo.gl/KDXy" xr:uid="{00000000-0004-0000-0300-0000F5000000}"/>
    <hyperlink ref="I248" r:id="rId247" display="https://k8j5m.app.goo.gl/DqNe" xr:uid="{00000000-0004-0000-0300-0000F6000000}"/>
    <hyperlink ref="I249" r:id="rId248" display="https://www.safeway.com/covid-19" xr:uid="{00000000-0004-0000-0300-0000F7000000}"/>
    <hyperlink ref="I250" r:id="rId249" display="https://www.weismarkets.com/pharmacy-services" xr:uid="{00000000-0004-0000-0300-0000F8000000}"/>
    <hyperlink ref="I251" r:id="rId250" display="https://www.weismarkets.com/pharmacy-services" xr:uid="{00000000-0004-0000-0300-0000F9000000}"/>
    <hyperlink ref="I252" r:id="rId251" display="https://www.wegmans.com/covid-vaccine-registration/" xr:uid="{00000000-0004-0000-0300-0000FA000000}"/>
    <hyperlink ref="I253" r:id="rId252" display="https://giantfoodsched.rxtouch.com/rbssched/program/wellness/Patient/Advisory" xr:uid="{00000000-0004-0000-0300-0000FB000000}"/>
    <hyperlink ref="I254" r:id="rId253" display="https://www.cvs.com/immunizations/covid-19-vaccine" xr:uid="{00000000-0004-0000-0300-0000FC000000}"/>
    <hyperlink ref="I255" r:id="rId254" display="https://www.cvs.com/immunizations/covid-19-vaccine" xr:uid="{00000000-0004-0000-0300-0000FD000000}"/>
    <hyperlink ref="I256" r:id="rId255" display="https://www.cvs.com/immunizations/covid-19-vaccine" xr:uid="{00000000-0004-0000-0300-0000FE000000}"/>
    <hyperlink ref="I257" r:id="rId256" location="/" display="https://mainstreetrx.timetap.com/ - /" xr:uid="{00000000-0004-0000-0300-0000FF000000}"/>
    <hyperlink ref="I258" r:id="rId257" display="https://www.cvs.com/immunizations/covid-19-vaccine" xr:uid="{00000000-0004-0000-0300-000000010000}"/>
    <hyperlink ref="I259" r:id="rId258" display="https://www.harristeeterpharmacy.com/rx/covid-eligibility" xr:uid="{00000000-0004-0000-0300-000001010000}"/>
    <hyperlink ref="I260" r:id="rId259" display="https://mhealthsystem.com/covid1939" xr:uid="{00000000-0004-0000-0300-000002010000}"/>
    <hyperlink ref="I261" r:id="rId260" display="https://www.walgreens.com/schedulevaccine" xr:uid="{00000000-0004-0000-0300-000003010000}"/>
    <hyperlink ref="I263" r:id="rId261" display="https://www.cvs.com/immunizations/covid-19-vaccine" xr:uid="{00000000-0004-0000-0300-000004010000}"/>
    <hyperlink ref="I264" r:id="rId262" display="https://www.riteaid.com/pharmacy/covid-qualifier" xr:uid="{00000000-0004-0000-0300-000005010000}"/>
    <hyperlink ref="I265" r:id="rId263" display="https://www.weismarkets.com/pharmacy-services" xr:uid="{00000000-0004-0000-0300-000006010000}"/>
    <hyperlink ref="I266" r:id="rId264" display="https://walmart.com/covidvaccine" xr:uid="{00000000-0004-0000-0300-000007010000}"/>
    <hyperlink ref="I267" r:id="rId265" display="https://www.cvs.com/immunizations/covid-19-vaccine" xr:uid="{00000000-0004-0000-0300-000008010000}"/>
    <hyperlink ref="I268" r:id="rId266" display="https://walmart.com/covidvaccine" xr:uid="{00000000-0004-0000-0300-000009010000}"/>
    <hyperlink ref="I269" r:id="rId267" display="https://www.walgreens.com/schedulevaccine" xr:uid="{00000000-0004-0000-0300-00000A010000}"/>
    <hyperlink ref="I270" r:id="rId268" display="https://www.cvs.com/immunizations/covid-19-vaccine" xr:uid="{00000000-0004-0000-0300-00000B010000}"/>
    <hyperlink ref="I271" r:id="rId269" display="https://www.walgreens.com/schedulevaccine" xr:uid="{00000000-0004-0000-0300-00000C010000}"/>
    <hyperlink ref="I272" r:id="rId270" display="https://walmart.com/covidvaccine" xr:uid="{00000000-0004-0000-0300-00000D010000}"/>
    <hyperlink ref="I273" r:id="rId271" display="https://walmart.com/covidvaccine" xr:uid="{00000000-0004-0000-0300-00000E010000}"/>
    <hyperlink ref="I274" r:id="rId272" display="https://hipaa.jotform.com/210769181190153" xr:uid="{00000000-0004-0000-0300-00000F010000}"/>
    <hyperlink ref="I275" r:id="rId273" display="https://www.weismarkets.com/pharmacy-services" xr:uid="{00000000-0004-0000-0300-000010010000}"/>
    <hyperlink ref="I276" r:id="rId274" display="https://www.weismarkets.com/pharmacy-services" xr:uid="{00000000-0004-0000-0300-000011010000}"/>
    <hyperlink ref="I277" r:id="rId275" display="https://www.samsclub.com/pharmacy" xr:uid="{00000000-0004-0000-0300-000012010000}"/>
    <hyperlink ref="I278" r:id="rId276" display="https://www.cvs.com/immunizations/covid-19-vaccine" xr:uid="{00000000-0004-0000-0300-000013010000}"/>
    <hyperlink ref="I279" r:id="rId277" display="https://www.weismarkets.com/pharmacy-services" xr:uid="{00000000-0004-0000-0300-000014010000}"/>
    <hyperlink ref="I280" r:id="rId278" display="https://www.cvs.com/immunizations/covid-19-vaccine" xr:uid="{00000000-0004-0000-0300-000015010000}"/>
    <hyperlink ref="I281" r:id="rId279" display="https://walmart.com/covidvaccine" xr:uid="{00000000-0004-0000-0300-000016010000}"/>
    <hyperlink ref="I282" r:id="rId280" display="https://walmart.com/covidvaccine" xr:uid="{00000000-0004-0000-0300-000017010000}"/>
    <hyperlink ref="I283" r:id="rId281" display="https://www.samsclub.com/pharmacy" xr:uid="{00000000-0004-0000-0300-000018010000}"/>
    <hyperlink ref="I284" r:id="rId282" display="https://www.riteaid.com/pharmacy/covid-qualifier" xr:uid="{00000000-0004-0000-0300-000019010000}"/>
    <hyperlink ref="I285" r:id="rId283" display="https://www.riteaid.com/pharmacy/covid-qualifier" xr:uid="{00000000-0004-0000-0300-00001A010000}"/>
    <hyperlink ref="G286" r:id="rId284" display="https://www.pembertonpharmacy.com/" xr:uid="{00000000-0004-0000-0300-00001B010000}"/>
    <hyperlink ref="I286" r:id="rId285" display="https://app.acuityscheduling.com/schedule.php?owner=21644418&amp;appointmentType=19446458" xr:uid="{00000000-0004-0000-0300-00001C010000}"/>
    <hyperlink ref="I287" r:id="rId286" display="https://walmart.com/covidvaccine" xr:uid="{00000000-0004-0000-0300-00001D010000}"/>
    <hyperlink ref="I288" r:id="rId287" display="https://walmart.com/covidvaccine" xr:uid="{00000000-0004-0000-0300-00001E010000}"/>
    <hyperlink ref="I289" r:id="rId288" display="https://www.cvs.com/immunizations/covid-19-vaccine" xr:uid="{00000000-0004-0000-0300-00001F010000}"/>
    <hyperlink ref="I290" r:id="rId289" display="https://bit.ly/3m8u6mK" xr:uid="{00000000-0004-0000-0300-000020010000}"/>
  </hyperlinks>
  <pageMargins left="0.7" right="0.7" top="0.75" bottom="0.75" header="0.3" footer="0.3"/>
  <pageSetup orientation="portrait" horizontalDpi="300" verticalDpi="0" r:id="rId290"/>
  <legacyDrawing r:id="rId29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810D87E055249A6476D3CABD3FA8C" ma:contentTypeVersion="12" ma:contentTypeDescription="Create a new document." ma:contentTypeScope="" ma:versionID="0733b6cb0634185812899042c576038c">
  <xsd:schema xmlns:xsd="http://www.w3.org/2001/XMLSchema" xmlns:xs="http://www.w3.org/2001/XMLSchema" xmlns:p="http://schemas.microsoft.com/office/2006/metadata/properties" xmlns:ns3="f79cdb19-6e4a-4fd4-a4d8-d7205e17296f" xmlns:ns4="c848755e-8614-4511-9e29-263fa9309bb5" targetNamespace="http://schemas.microsoft.com/office/2006/metadata/properties" ma:root="true" ma:fieldsID="7abc98b58f8887a66264515dbfe2926e" ns3:_="" ns4:_="">
    <xsd:import namespace="f79cdb19-6e4a-4fd4-a4d8-d7205e17296f"/>
    <xsd:import namespace="c848755e-8614-4511-9e29-263fa9309b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cdb19-6e4a-4fd4-a4d8-d7205e172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8755e-8614-4511-9e29-263fa9309b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47B3C-C59E-4F22-8C82-9806F1363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cdb19-6e4a-4fd4-a4d8-d7205e17296f"/>
    <ds:schemaRef ds:uri="c848755e-8614-4511-9e29-263fa9309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952DDF-EBB7-47E5-A4C6-105E96831FD3}">
  <ds:schemaRefs>
    <ds:schemaRef ds:uri="f79cdb19-6e4a-4fd4-a4d8-d7205e17296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848755e-8614-4511-9e29-263fa9309bb5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27C265-C183-4862-9830-D87AFB013B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5-11 Pediatric Pharmacy 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Pharmacies offering pediatric COVID-19 vaccine</dc:title>
  <dc:creator>Greg M Williams</dc:creator>
  <cp:lastModifiedBy>Brunhart-Wiggins, Susanne</cp:lastModifiedBy>
  <dcterms:created xsi:type="dcterms:W3CDTF">2021-11-05T00:19:02Z</dcterms:created>
  <dcterms:modified xsi:type="dcterms:W3CDTF">2021-11-09T15:22:13Z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0x010100ABD810D87E055249A6476D3CABD3FA8C</vt:lpwstr>
  </property>
</Properties>
</file>